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harts/chart17.xml" ContentType="application/vnd.openxmlformats-officedocument.drawingml.chart+xml"/>
  <Override PartName="/xl/drawings/drawing7.xml" ContentType="application/vnd.openxmlformats-officedocument.drawingml.chartshapes+xml"/>
  <Override PartName="/xl/charts/chart18.xml" ContentType="application/vnd.openxmlformats-officedocument.drawingml.chart+xml"/>
  <Override PartName="/xl/drawings/drawing8.xml" ContentType="application/vnd.openxmlformats-officedocument.drawingml.chartshapes+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drawings/drawing10.xml" ContentType="application/vnd.openxmlformats-officedocument.drawingml.chartshapes+xml"/>
  <Override PartName="/xl/comments4.xml" ContentType="application/vnd.openxmlformats-officedocument.spreadsheetml.comments+xml"/>
  <Override PartName="/xl/drawings/drawing11.xml" ContentType="application/vnd.openxmlformats-officedocument.drawing+xml"/>
  <Override PartName="/xl/charts/chart21.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https://d.docs.live.net/fc76609ee7ff9b79/Mgmt Partners/Kenmore WA/Phase 2 - FSP/Updated Fiscal Models/"/>
    </mc:Choice>
  </mc:AlternateContent>
  <xr:revisionPtr revIDLastSave="0" documentId="8_{D16E4C64-2199-4E7E-9F29-05967245A5F2}" xr6:coauthVersionLast="45" xr6:coauthVersionMax="45" xr10:uidLastSave="{00000000-0000-0000-0000-000000000000}"/>
  <bookViews>
    <workbookView xWindow="-28920" yWindow="-120" windowWidth="29040" windowHeight="15840" xr2:uid="{00000000-000D-0000-FFFF-FFFF00000000}"/>
  </bookViews>
  <sheets>
    <sheet name="Contact" sheetId="7" r:id="rId1"/>
    <sheet name="FSP MP Scen 1" sheetId="9" r:id="rId2"/>
    <sheet name="FSP MP Scen 2" sheetId="10" r:id="rId3"/>
    <sheet name="FSP MP Scen 3" sheetId="11" r:id="rId4"/>
    <sheet name="FSP MP Scen 4" sheetId="12" r:id="rId5"/>
    <sheet name="No Recession Forecast" sheetId="3" r:id="rId6"/>
    <sheet name="Recession Forecast" sheetId="1" r:id="rId7"/>
    <sheet name="Dashboard" sheetId="2" r:id="rId8"/>
    <sheet name="Data Worksheet" sheetId="8" r:id="rId9"/>
    <sheet name="Cash Flow" sheetId="6" state="hidden" r:id="rId10"/>
  </sheets>
  <definedNames>
    <definedName name="AgencyName">Dashboard!$B$90</definedName>
    <definedName name="BLT_growth2">Dashboard!$G$70</definedName>
    <definedName name="Bud_Calc">Dashboard!$F$94</definedName>
    <definedName name="Budget_Cut_Amount">Dashboard!$B$24</definedName>
    <definedName name="Budget_Increase_Amount">Dashboard!$B$28</definedName>
    <definedName name="Budget_Increase_FY">Dashboard!$D$28</definedName>
    <definedName name="Budget_Reduction_FY">Dashboard!$D$24</definedName>
    <definedName name="Capital_Growth_Option">Dashboard!$C$119</definedName>
    <definedName name="CommDevFees_growth2">Dashboard!$G$78</definedName>
    <definedName name="CovidPick">Dashboard!$Q$231</definedName>
    <definedName name="cursor">Dashboard!$N$217</definedName>
    <definedName name="Cut_No_Recession">Dashboard!$D$26</definedName>
    <definedName name="Cut_Years">Dashboard!$D$25</definedName>
    <definedName name="Debt_Growth_Option">Dashboard!$C$118</definedName>
    <definedName name="Disc_Rate">Dashboard!$C$222</definedName>
    <definedName name="Disc_Rate2">'Data Worksheet'!$B$91</definedName>
    <definedName name="Exp_Savings">Dashboard!$C$116</definedName>
    <definedName name="Fines_growth2">Dashboard!$G$76</definedName>
    <definedName name="Fire_sworn">'Data Worksheet'!$B$81</definedName>
    <definedName name="Franchise_growth2">Dashboard!$G$73</definedName>
    <definedName name="FY20_Add_only">Dashboard!$B$29</definedName>
    <definedName name="FY20Severe">Dashboard!$F$46:$F$62</definedName>
    <definedName name="FY20temp">Dashboard!$AE$46:$AE$62</definedName>
    <definedName name="FY21_Add_only">Dashboard!$D$29</definedName>
    <definedName name="FY21Severe">Dashboard!$J$46:$J$62</definedName>
    <definedName name="FY21temp">Dashboard!$AF$46:$AF$62</definedName>
    <definedName name="FY22_Severe">Dashboard!$N$44</definedName>
    <definedName name="FY22Severe">Dashboard!$N$46:$N$62</definedName>
    <definedName name="FY22temp">Dashboard!$AG$46:$AG$62</definedName>
    <definedName name="General">Dashboard!$A$20</definedName>
    <definedName name="Inflation">Dashboard!$D$30</definedName>
    <definedName name="Interfund_growth">Dashboard!$G$82</definedName>
    <definedName name="Intergovt_growth2">Dashboard!$G$75</definedName>
    <definedName name="Invest_Return_Profile">'Data Worksheet'!$B$90</definedName>
    <definedName name="LicensePermit_growth2">Dashboard!$G$77</definedName>
    <definedName name="Loan_Rate">Dashboard!$C$34</definedName>
    <definedName name="Loan_Term">Dashboard!$D$34</definedName>
    <definedName name="Loss20">Dashboard!$H$22</definedName>
    <definedName name="Loss20_temp">Dashboard!$AE$43</definedName>
    <definedName name="Loss21">Dashboard!$I$22</definedName>
    <definedName name="Loss21_temp">Dashboard!$AF$43</definedName>
    <definedName name="Loss22">Dashboard!$J$22</definedName>
    <definedName name="Loss22_temp">Dashboard!$AG$43</definedName>
    <definedName name="max_calc">Dashboard!$Q$215</definedName>
    <definedName name="Max_y">Dashboard!$Q$217</definedName>
    <definedName name="Min_y">Dashboard!$Q$218</definedName>
    <definedName name="Misc_all_other">'Data Worksheet'!$B$87</definedName>
    <definedName name="Other_Transfers_Growth_Option">Dashboard!$C$120</definedName>
    <definedName name="OtherFee_growth2">Dashboard!$G$80</definedName>
    <definedName name="OtherRevenue_growth2">Dashboard!$G$83</definedName>
    <definedName name="OtherTax_growth2">Dashboard!$G$74</definedName>
    <definedName name="ParkRecFees_growth2">Dashboard!$G$79</definedName>
    <definedName name="Pension_Growth_Option">Dashboard!$C$113</definedName>
    <definedName name="Police_sworn">'Data Worksheet'!$B$75</definedName>
    <definedName name="Population">Dashboard!$B$91</definedName>
    <definedName name="_xlnm.Print_Area" localSheetId="5">'No Recession Forecast'!$A$1:$K$57</definedName>
    <definedName name="_xlnm.Print_Area" localSheetId="6">'Recession Forecast'!$A$1:$K$59</definedName>
    <definedName name="Prior_Max">Dashboard!$Q$220</definedName>
    <definedName name="Prior_Min">Dashboard!$Q$221</definedName>
    <definedName name="PT_growth2">Dashboard!$G$65</definedName>
    <definedName name="Recession_loss_FY23">Dashboard!$K$25:$K$40</definedName>
    <definedName name="Recession_loss_FY24">Dashboard!$L$25:$L$40</definedName>
    <definedName name="Recovery_temp">Dashboard!$AJ$43</definedName>
    <definedName name="Recovery_years">Dashboard!$K$22</definedName>
    <definedName name="Reserve_Goal">Dashboard!$D$21</definedName>
    <definedName name="Rev_loss_cap">Dashboard!$D$33</definedName>
    <definedName name="Rev_Loss_Loan">Dashboard!$B$34</definedName>
    <definedName name="Revenue_Loss_FY20">Dashboard!$H$25:$H$40</definedName>
    <definedName name="Revenue_Loss_FY20_High">Dashboard!$E$46:$E$62</definedName>
    <definedName name="Revenue_Loss_FY20_Low">Dashboard!$C$46:$C$62</definedName>
    <definedName name="Revenue_Loss_FY20_Moderate">Dashboard!$D$46:$D$62</definedName>
    <definedName name="Revenue_Loss_FY20_Severe">Dashboard!$F$46:$F$62</definedName>
    <definedName name="Revenue_Loss_FY21">Dashboard!$I$25:$I$40</definedName>
    <definedName name="Revenue_Loss_FY21_High">Dashboard!$I$46:$I$62</definedName>
    <definedName name="Revenue_Loss_FY21_Low">Dashboard!$G$46:$G$62</definedName>
    <definedName name="Revenue_Loss_FY21_Moderate">Dashboard!$H$46:$H$62</definedName>
    <definedName name="Revenue_Loss_FY21_Severe">Dashboard!$J$46:$J$62</definedName>
    <definedName name="Revenue_Loss_FY22">Dashboard!$J$25:$J$40</definedName>
    <definedName name="Revenue_Loss_FY22_High">Dashboard!$M$46:$M$62</definedName>
    <definedName name="Revenue_Loss_FY22_Low">Dashboard!$K$46:$K$62</definedName>
    <definedName name="Revenue_Loss_FY22_Moderate">Dashboard!$L$46:$L$62</definedName>
    <definedName name="Revenue_Loss_FY22_Severe">Dashboard!$N$46:$N$62</definedName>
    <definedName name="RPTT_growth2">Dashboard!$G$72</definedName>
    <definedName name="Salary_Growth_Option">Dashboard!$C$111</definedName>
    <definedName name="ST_growth2">Dashboard!$G$66</definedName>
    <definedName name="Tax_Loss_Replacement">Dashboard!$D$32</definedName>
    <definedName name="Tax_Loss_Replacement_FY_End">Dashboard!#REF!</definedName>
    <definedName name="TOT_growth2">Dashboard!$G$71</definedName>
    <definedName name="TOTloss">Dashboard!$D$22</definedName>
    <definedName name="Transfer_In_growth2">Dashboard!$G$84</definedName>
    <definedName name="TUT_growth2">Dashboard!$G$68</definedName>
    <definedName name="TUT_rate_new">Dashboard!#REF!</definedName>
    <definedName name="TUTbase">Dashboard!#REF!</definedName>
    <definedName name="TUTnewFY">Dashboard!#REF!</definedName>
    <definedName name="UAL_prepay">'Data Worksheet'!$B$92</definedName>
    <definedName name="Unit">Dashboard!$Q$219</definedName>
    <definedName name="UUT_growth2">Dashboard!$G$69</definedName>
    <definedName name="Your_City">Dashboard!$A$85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51" i="12" l="1"/>
  <c r="K25" i="12"/>
  <c r="L25" i="12" s="1"/>
  <c r="M25" i="12" s="1"/>
  <c r="N25" i="12" s="1"/>
  <c r="O25" i="12" s="1"/>
  <c r="P25" i="12" s="1"/>
  <c r="J25" i="12"/>
  <c r="J24" i="12"/>
  <c r="O23" i="12"/>
  <c r="P23" i="12" s="1"/>
  <c r="N23" i="12"/>
  <c r="M23" i="12"/>
  <c r="L23" i="12"/>
  <c r="K23" i="12"/>
  <c r="J23" i="12"/>
  <c r="P22" i="12"/>
  <c r="O22" i="12"/>
  <c r="N22" i="12"/>
  <c r="M22" i="12"/>
  <c r="L22" i="12"/>
  <c r="K22" i="12"/>
  <c r="J22" i="12"/>
  <c r="P21" i="12"/>
  <c r="O21" i="12"/>
  <c r="N21" i="12"/>
  <c r="M21" i="12"/>
  <c r="L21" i="12"/>
  <c r="K21" i="12"/>
  <c r="J21" i="12"/>
  <c r="P20" i="12"/>
  <c r="O20" i="12"/>
  <c r="N20" i="12"/>
  <c r="M20" i="12"/>
  <c r="L20" i="12"/>
  <c r="K20" i="12"/>
  <c r="J20" i="12"/>
  <c r="I20" i="12"/>
  <c r="P19" i="12"/>
  <c r="O19" i="12"/>
  <c r="N19" i="12"/>
  <c r="M19" i="12"/>
  <c r="L19" i="12"/>
  <c r="K19" i="12"/>
  <c r="J19" i="12"/>
  <c r="I19" i="12"/>
  <c r="P18" i="12"/>
  <c r="O18" i="12"/>
  <c r="N18" i="12"/>
  <c r="M18" i="12"/>
  <c r="L18" i="12"/>
  <c r="V5" i="12" s="1"/>
  <c r="K18" i="12"/>
  <c r="J18" i="12"/>
  <c r="I18" i="12"/>
  <c r="L17" i="12"/>
  <c r="V4" i="12" s="1"/>
  <c r="K17" i="12"/>
  <c r="J17" i="12"/>
  <c r="P16" i="12"/>
  <c r="O16" i="12"/>
  <c r="N16" i="12"/>
  <c r="M16" i="12"/>
  <c r="L16" i="12"/>
  <c r="K16" i="12"/>
  <c r="J16" i="12"/>
  <c r="I16" i="12"/>
  <c r="P15" i="12"/>
  <c r="O15" i="12"/>
  <c r="N15" i="12"/>
  <c r="M15" i="12"/>
  <c r="L15" i="12"/>
  <c r="K15" i="12"/>
  <c r="U4" i="12" s="1"/>
  <c r="J15" i="12"/>
  <c r="N14" i="12"/>
  <c r="O14" i="12" s="1"/>
  <c r="P14" i="12" s="1"/>
  <c r="M14" i="12"/>
  <c r="L14" i="12"/>
  <c r="K14" i="12"/>
  <c r="J14" i="12"/>
  <c r="I14" i="12"/>
  <c r="P13" i="12"/>
  <c r="O13" i="12"/>
  <c r="N13" i="12"/>
  <c r="M13" i="12"/>
  <c r="L13" i="12"/>
  <c r="K13" i="12"/>
  <c r="J13" i="12"/>
  <c r="T4" i="12" s="1"/>
  <c r="P12" i="12"/>
  <c r="O12" i="12"/>
  <c r="N12" i="12"/>
  <c r="M12" i="12"/>
  <c r="L12" i="12"/>
  <c r="K12" i="12"/>
  <c r="J12" i="12"/>
  <c r="I12" i="12"/>
  <c r="P11" i="12"/>
  <c r="O11" i="12"/>
  <c r="N11" i="12"/>
  <c r="M11" i="12"/>
  <c r="L11" i="12"/>
  <c r="K11" i="12"/>
  <c r="J11" i="12"/>
  <c r="S10" i="12"/>
  <c r="P10" i="12"/>
  <c r="O10" i="12"/>
  <c r="N10" i="12"/>
  <c r="M10" i="12"/>
  <c r="L10" i="12"/>
  <c r="K10" i="12"/>
  <c r="J10" i="12"/>
  <c r="P9" i="12"/>
  <c r="O9" i="12"/>
  <c r="N9" i="12"/>
  <c r="M9" i="12"/>
  <c r="L9" i="12"/>
  <c r="K9" i="12"/>
  <c r="J9" i="12"/>
  <c r="M8" i="12"/>
  <c r="N8" i="12" s="1"/>
  <c r="O8" i="12" s="1"/>
  <c r="P8" i="12" s="1"/>
  <c r="L8" i="12"/>
  <c r="K8" i="12"/>
  <c r="J8" i="12"/>
  <c r="L7" i="12"/>
  <c r="V8" i="12" s="1"/>
  <c r="K7" i="12"/>
  <c r="J7" i="12"/>
  <c r="T8" i="12" s="1"/>
  <c r="S6" i="12"/>
  <c r="S11" i="12" s="1"/>
  <c r="S53" i="12" s="1"/>
  <c r="K6" i="12"/>
  <c r="L6" i="12" s="1"/>
  <c r="M6" i="12" s="1"/>
  <c r="N6" i="12" s="1"/>
  <c r="O6" i="12" s="1"/>
  <c r="P6" i="12" s="1"/>
  <c r="J6" i="12"/>
  <c r="Z5" i="12"/>
  <c r="Y5" i="12"/>
  <c r="X5" i="12"/>
  <c r="W5" i="12"/>
  <c r="U5" i="12"/>
  <c r="T5" i="12"/>
  <c r="K5" i="12"/>
  <c r="L5" i="12" s="1"/>
  <c r="M5" i="12" s="1"/>
  <c r="N5" i="12" s="1"/>
  <c r="O5" i="12" s="1"/>
  <c r="P5" i="12" s="1"/>
  <c r="J5" i="12"/>
  <c r="L4" i="12"/>
  <c r="K4" i="12"/>
  <c r="J4" i="12"/>
  <c r="S51" i="11"/>
  <c r="J25" i="11"/>
  <c r="K25" i="11" s="1"/>
  <c r="L25" i="11" s="1"/>
  <c r="M25" i="11" s="1"/>
  <c r="N25" i="11" s="1"/>
  <c r="O25" i="11" s="1"/>
  <c r="P25" i="11" s="1"/>
  <c r="J24" i="11"/>
  <c r="K24" i="11" s="1"/>
  <c r="P23" i="11"/>
  <c r="O23" i="11"/>
  <c r="N23" i="11"/>
  <c r="M23" i="11"/>
  <c r="L23" i="11"/>
  <c r="K23" i="11"/>
  <c r="J23" i="11"/>
  <c r="P22" i="11"/>
  <c r="O22" i="11"/>
  <c r="N22" i="11"/>
  <c r="M22" i="11"/>
  <c r="L22" i="11"/>
  <c r="K22" i="11"/>
  <c r="J22" i="11"/>
  <c r="P21" i="11"/>
  <c r="O21" i="11"/>
  <c r="N21" i="11"/>
  <c r="M21" i="11"/>
  <c r="L21" i="11"/>
  <c r="K21" i="11"/>
  <c r="J21" i="11"/>
  <c r="P20" i="11"/>
  <c r="O20" i="11"/>
  <c r="N20" i="11"/>
  <c r="M20" i="11"/>
  <c r="L20" i="11"/>
  <c r="K20" i="11"/>
  <c r="J20" i="11"/>
  <c r="I20" i="11"/>
  <c r="P19" i="11"/>
  <c r="O19" i="11"/>
  <c r="N19" i="11"/>
  <c r="M19" i="11"/>
  <c r="L19" i="11"/>
  <c r="K19" i="11"/>
  <c r="J19" i="11"/>
  <c r="I19" i="11"/>
  <c r="P18" i="11"/>
  <c r="O18" i="11"/>
  <c r="N18" i="11"/>
  <c r="M18" i="11"/>
  <c r="L18" i="11"/>
  <c r="V5" i="11" s="1"/>
  <c r="K18" i="11"/>
  <c r="J18" i="11"/>
  <c r="I18" i="11"/>
  <c r="L17" i="11"/>
  <c r="V4" i="11" s="1"/>
  <c r="V6" i="11" s="1"/>
  <c r="K17" i="11"/>
  <c r="J17" i="11"/>
  <c r="P16" i="11"/>
  <c r="O16" i="11"/>
  <c r="N16" i="11"/>
  <c r="M16" i="11"/>
  <c r="L16" i="11"/>
  <c r="K16" i="11"/>
  <c r="J16" i="11"/>
  <c r="I16" i="11"/>
  <c r="P15" i="11"/>
  <c r="O15" i="11"/>
  <c r="N15" i="11"/>
  <c r="M15" i="11"/>
  <c r="L15" i="11"/>
  <c r="K15" i="11"/>
  <c r="U4" i="11" s="1"/>
  <c r="J15" i="11"/>
  <c r="M14" i="11"/>
  <c r="L14" i="11"/>
  <c r="K14" i="11"/>
  <c r="J14" i="11"/>
  <c r="I14" i="11"/>
  <c r="P13" i="11"/>
  <c r="O13" i="11"/>
  <c r="N13" i="11"/>
  <c r="M13" i="11"/>
  <c r="L13" i="11"/>
  <c r="K13" i="11"/>
  <c r="J13" i="11"/>
  <c r="O12" i="11"/>
  <c r="P12" i="11" s="1"/>
  <c r="N12" i="11"/>
  <c r="M12" i="11"/>
  <c r="L12" i="11"/>
  <c r="K12" i="11"/>
  <c r="J12" i="11"/>
  <c r="I12" i="11"/>
  <c r="P11" i="11"/>
  <c r="O11" i="11"/>
  <c r="N11" i="11"/>
  <c r="M11" i="11"/>
  <c r="L11" i="11"/>
  <c r="K11" i="11"/>
  <c r="J11" i="11"/>
  <c r="S10" i="11"/>
  <c r="P10" i="11"/>
  <c r="O10" i="11"/>
  <c r="N10" i="11"/>
  <c r="M10" i="11"/>
  <c r="L10" i="11"/>
  <c r="K10" i="11"/>
  <c r="J10" i="11"/>
  <c r="T9" i="11"/>
  <c r="P9" i="11"/>
  <c r="O9" i="11"/>
  <c r="N9" i="11"/>
  <c r="M9" i="11"/>
  <c r="L9" i="11"/>
  <c r="K9" i="11"/>
  <c r="J9" i="11"/>
  <c r="W8" i="11"/>
  <c r="U8" i="11"/>
  <c r="M8" i="11"/>
  <c r="N8" i="11" s="1"/>
  <c r="O8" i="11" s="1"/>
  <c r="P8" i="11" s="1"/>
  <c r="L8" i="11"/>
  <c r="K8" i="11"/>
  <c r="J8" i="11"/>
  <c r="P7" i="11"/>
  <c r="O7" i="11"/>
  <c r="N7" i="11"/>
  <c r="M7" i="11"/>
  <c r="L7" i="11"/>
  <c r="V8" i="11" s="1"/>
  <c r="K7" i="11"/>
  <c r="J7" i="11"/>
  <c r="S6" i="11"/>
  <c r="S11" i="11" s="1"/>
  <c r="S53" i="11" s="1"/>
  <c r="P6" i="11"/>
  <c r="O6" i="11"/>
  <c r="N6" i="11"/>
  <c r="M6" i="11"/>
  <c r="L6" i="11"/>
  <c r="K6" i="11"/>
  <c r="J6" i="11"/>
  <c r="Z5" i="11"/>
  <c r="Y5" i="11"/>
  <c r="X5" i="11"/>
  <c r="W5" i="11"/>
  <c r="U5" i="11"/>
  <c r="T5" i="11"/>
  <c r="P5" i="11"/>
  <c r="O5" i="11"/>
  <c r="N5" i="11"/>
  <c r="M5" i="11"/>
  <c r="L5" i="11"/>
  <c r="K5" i="11"/>
  <c r="J5" i="11"/>
  <c r="J4" i="11"/>
  <c r="T7" i="11" s="1"/>
  <c r="S51" i="10"/>
  <c r="P25" i="10"/>
  <c r="O25" i="10"/>
  <c r="N25" i="10"/>
  <c r="M25" i="10"/>
  <c r="L25" i="10"/>
  <c r="K25" i="10"/>
  <c r="J25" i="10"/>
  <c r="P24" i="10"/>
  <c r="O24" i="10"/>
  <c r="N24" i="10"/>
  <c r="M24" i="10"/>
  <c r="L24" i="10"/>
  <c r="K24" i="10"/>
  <c r="J24" i="10"/>
  <c r="P23" i="10"/>
  <c r="O23" i="10"/>
  <c r="N23" i="10"/>
  <c r="M23" i="10"/>
  <c r="L23" i="10"/>
  <c r="K23" i="10"/>
  <c r="J23" i="10"/>
  <c r="P22" i="10"/>
  <c r="O22" i="10"/>
  <c r="N22" i="10"/>
  <c r="M22" i="10"/>
  <c r="L22" i="10"/>
  <c r="K22" i="10"/>
  <c r="J22" i="10"/>
  <c r="P21" i="10"/>
  <c r="O21" i="10"/>
  <c r="N21" i="10"/>
  <c r="M21" i="10"/>
  <c r="L21" i="10"/>
  <c r="K21" i="10"/>
  <c r="J21" i="10"/>
  <c r="P20" i="10"/>
  <c r="O20" i="10"/>
  <c r="N20" i="10"/>
  <c r="M20" i="10"/>
  <c r="L20" i="10"/>
  <c r="K20" i="10"/>
  <c r="J20" i="10"/>
  <c r="I20" i="10"/>
  <c r="P19" i="10"/>
  <c r="O19" i="10"/>
  <c r="N19" i="10"/>
  <c r="M19" i="10"/>
  <c r="L19" i="10"/>
  <c r="K19" i="10"/>
  <c r="J19" i="10"/>
  <c r="I19" i="10"/>
  <c r="P18" i="10"/>
  <c r="O18" i="10"/>
  <c r="N18" i="10"/>
  <c r="M18" i="10"/>
  <c r="L18" i="10"/>
  <c r="K18" i="10"/>
  <c r="J18" i="10"/>
  <c r="I18" i="10"/>
  <c r="P17" i="10"/>
  <c r="O17" i="10"/>
  <c r="N17" i="10"/>
  <c r="M17" i="10"/>
  <c r="L17" i="10"/>
  <c r="K17" i="10"/>
  <c r="J17" i="10"/>
  <c r="P16" i="10"/>
  <c r="O16" i="10"/>
  <c r="N16" i="10"/>
  <c r="M16" i="10"/>
  <c r="L16" i="10"/>
  <c r="K16" i="10"/>
  <c r="J16" i="10"/>
  <c r="I16" i="10"/>
  <c r="P15" i="10"/>
  <c r="O15" i="10"/>
  <c r="N15" i="10"/>
  <c r="M15" i="10"/>
  <c r="L15" i="10"/>
  <c r="K15" i="10"/>
  <c r="J15" i="10"/>
  <c r="M14" i="10"/>
  <c r="N14" i="10" s="1"/>
  <c r="L14" i="10"/>
  <c r="K14" i="10"/>
  <c r="J14" i="10"/>
  <c r="I14" i="10"/>
  <c r="L13" i="10"/>
  <c r="M13" i="10" s="1"/>
  <c r="K13" i="10"/>
  <c r="J13" i="10"/>
  <c r="P12" i="10"/>
  <c r="O12" i="10"/>
  <c r="N12" i="10"/>
  <c r="M12" i="10"/>
  <c r="L12" i="10"/>
  <c r="K12" i="10"/>
  <c r="J12" i="10"/>
  <c r="I12" i="10"/>
  <c r="P11" i="10"/>
  <c r="O11" i="10"/>
  <c r="N11" i="10"/>
  <c r="M11" i="10"/>
  <c r="L11" i="10"/>
  <c r="K11" i="10"/>
  <c r="J11" i="10"/>
  <c r="S10" i="10"/>
  <c r="P10" i="10"/>
  <c r="O10" i="10"/>
  <c r="N10" i="10"/>
  <c r="M10" i="10"/>
  <c r="L10" i="10"/>
  <c r="K10" i="10"/>
  <c r="J10" i="10"/>
  <c r="Z9" i="10"/>
  <c r="Y9" i="10"/>
  <c r="X9" i="10"/>
  <c r="W9" i="10"/>
  <c r="V9" i="10"/>
  <c r="U9" i="10"/>
  <c r="T9" i="10"/>
  <c r="P9" i="10"/>
  <c r="O9" i="10"/>
  <c r="N9" i="10"/>
  <c r="M9" i="10"/>
  <c r="L9" i="10"/>
  <c r="K9" i="10"/>
  <c r="J9" i="10"/>
  <c r="Z8" i="10"/>
  <c r="X8" i="10"/>
  <c r="P8" i="10"/>
  <c r="O8" i="10"/>
  <c r="N8" i="10"/>
  <c r="M8" i="10"/>
  <c r="L8" i="10"/>
  <c r="V8" i="10" s="1"/>
  <c r="K8" i="10"/>
  <c r="J8" i="10"/>
  <c r="P7" i="10"/>
  <c r="O7" i="10"/>
  <c r="Y8" i="10" s="1"/>
  <c r="N7" i="10"/>
  <c r="M7" i="10"/>
  <c r="W8" i="10" s="1"/>
  <c r="L7" i="10"/>
  <c r="K7" i="10"/>
  <c r="U8" i="10" s="1"/>
  <c r="J7" i="10"/>
  <c r="T8" i="10" s="1"/>
  <c r="S6" i="10"/>
  <c r="S11" i="10" s="1"/>
  <c r="S53" i="10" s="1"/>
  <c r="P6" i="10"/>
  <c r="O6" i="10"/>
  <c r="N6" i="10"/>
  <c r="M6" i="10"/>
  <c r="L6" i="10"/>
  <c r="K6" i="10"/>
  <c r="J6" i="10"/>
  <c r="Z5" i="10"/>
  <c r="Y5" i="10"/>
  <c r="X5" i="10"/>
  <c r="W5" i="10"/>
  <c r="V5" i="10"/>
  <c r="U5" i="10"/>
  <c r="T5" i="10"/>
  <c r="P5" i="10"/>
  <c r="O5" i="10"/>
  <c r="N5" i="10"/>
  <c r="M5" i="10"/>
  <c r="L5" i="10"/>
  <c r="K5" i="10"/>
  <c r="J5" i="10"/>
  <c r="V4" i="10"/>
  <c r="U4" i="10"/>
  <c r="U6" i="10" s="1"/>
  <c r="T4" i="10"/>
  <c r="J4" i="10"/>
  <c r="T7" i="10" s="1"/>
  <c r="T9" i="12" l="1"/>
  <c r="U8" i="12"/>
  <c r="M7" i="12"/>
  <c r="U6" i="12"/>
  <c r="V6" i="12"/>
  <c r="T7" i="12"/>
  <c r="U7" i="12"/>
  <c r="V7" i="12"/>
  <c r="M17" i="12"/>
  <c r="T6" i="12"/>
  <c r="K24" i="12"/>
  <c r="M4" i="12"/>
  <c r="T4" i="11"/>
  <c r="T6" i="11" s="1"/>
  <c r="Y8" i="11"/>
  <c r="Z8" i="11"/>
  <c r="T8" i="11"/>
  <c r="T10" i="11" s="1"/>
  <c r="X8" i="11"/>
  <c r="W4" i="11"/>
  <c r="W6" i="11" s="1"/>
  <c r="M17" i="11"/>
  <c r="N17" i="11" s="1"/>
  <c r="O17" i="11" s="1"/>
  <c r="P17" i="11" s="1"/>
  <c r="N14" i="11"/>
  <c r="U9" i="11"/>
  <c r="L24" i="11"/>
  <c r="K4" i="11"/>
  <c r="U6" i="11"/>
  <c r="W4" i="10"/>
  <c r="W6" i="10" s="1"/>
  <c r="N13" i="10"/>
  <c r="O13" i="10" s="1"/>
  <c r="P13" i="10" s="1"/>
  <c r="V6" i="10"/>
  <c r="T6" i="10"/>
  <c r="X4" i="10"/>
  <c r="X6" i="10" s="1"/>
  <c r="O14" i="10"/>
  <c r="Y4" i="10" s="1"/>
  <c r="Y6" i="10" s="1"/>
  <c r="K4" i="10"/>
  <c r="T10" i="10"/>
  <c r="T11" i="10" s="1"/>
  <c r="T53" i="10" s="1"/>
  <c r="H236" i="8"/>
  <c r="I236" i="8" s="1"/>
  <c r="J236" i="8" s="1"/>
  <c r="K236" i="8" s="1"/>
  <c r="L236" i="8" s="1"/>
  <c r="G236" i="8"/>
  <c r="L21" i="9"/>
  <c r="M21" i="9" s="1"/>
  <c r="N21" i="9" s="1"/>
  <c r="O21" i="9" s="1"/>
  <c r="P21" i="9" s="1"/>
  <c r="K21" i="9"/>
  <c r="J21" i="9"/>
  <c r="U5" i="9"/>
  <c r="K5" i="9"/>
  <c r="L5" i="9" s="1"/>
  <c r="M5" i="9" s="1"/>
  <c r="N5" i="9" s="1"/>
  <c r="O5" i="9" s="1"/>
  <c r="P5" i="9" s="1"/>
  <c r="K6" i="9"/>
  <c r="L6" i="9" s="1"/>
  <c r="M6" i="9" s="1"/>
  <c r="N6" i="9" s="1"/>
  <c r="O6" i="9" s="1"/>
  <c r="P6" i="9" s="1"/>
  <c r="K7" i="9"/>
  <c r="U8" i="9" s="1"/>
  <c r="L7" i="9"/>
  <c r="K8" i="9"/>
  <c r="L8" i="9"/>
  <c r="M8" i="9"/>
  <c r="N8" i="9"/>
  <c r="O8" i="9" s="1"/>
  <c r="P8" i="9" s="1"/>
  <c r="K9" i="9"/>
  <c r="L9" i="9"/>
  <c r="M9" i="9"/>
  <c r="N9" i="9"/>
  <c r="O9" i="9"/>
  <c r="P9" i="9"/>
  <c r="K10" i="9"/>
  <c r="L10" i="9"/>
  <c r="M10" i="9"/>
  <c r="N10" i="9"/>
  <c r="O10" i="9"/>
  <c r="P10" i="9"/>
  <c r="K11" i="9"/>
  <c r="L11" i="9"/>
  <c r="M11" i="9"/>
  <c r="N11" i="9"/>
  <c r="O11" i="9"/>
  <c r="P11" i="9"/>
  <c r="K12" i="9"/>
  <c r="L12" i="9"/>
  <c r="M12" i="9" s="1"/>
  <c r="N12" i="9" s="1"/>
  <c r="O12" i="9" s="1"/>
  <c r="P12" i="9" s="1"/>
  <c r="K13" i="9"/>
  <c r="L13" i="9"/>
  <c r="M13" i="9"/>
  <c r="N13" i="9" s="1"/>
  <c r="O13" i="9" s="1"/>
  <c r="P13" i="9" s="1"/>
  <c r="K14" i="9"/>
  <c r="L14" i="9"/>
  <c r="K15" i="9"/>
  <c r="L15" i="9" s="1"/>
  <c r="M15" i="9" s="1"/>
  <c r="N15" i="9" s="1"/>
  <c r="O15" i="9" s="1"/>
  <c r="P15" i="9" s="1"/>
  <c r="K16" i="9"/>
  <c r="L16" i="9"/>
  <c r="M16" i="9"/>
  <c r="N16" i="9"/>
  <c r="O16" i="9"/>
  <c r="P16" i="9" s="1"/>
  <c r="K17" i="9"/>
  <c r="L17" i="9" s="1"/>
  <c r="M17" i="9" s="1"/>
  <c r="N17" i="9" s="1"/>
  <c r="O17" i="9" s="1"/>
  <c r="P17" i="9" s="1"/>
  <c r="K18" i="9"/>
  <c r="L18" i="9"/>
  <c r="V5" i="9" s="1"/>
  <c r="M18" i="9"/>
  <c r="N18" i="9"/>
  <c r="O18" i="9"/>
  <c r="P18" i="9"/>
  <c r="Z5" i="9" s="1"/>
  <c r="K19" i="9"/>
  <c r="L19" i="9"/>
  <c r="M19" i="9"/>
  <c r="N19" i="9"/>
  <c r="O19" i="9"/>
  <c r="P19" i="9"/>
  <c r="K20" i="9"/>
  <c r="L20" i="9"/>
  <c r="M20" i="9"/>
  <c r="N20" i="9"/>
  <c r="O20" i="9"/>
  <c r="P20" i="9"/>
  <c r="K22" i="9"/>
  <c r="L22" i="9"/>
  <c r="M22" i="9"/>
  <c r="N22" i="9"/>
  <c r="O22" i="9"/>
  <c r="P22" i="9"/>
  <c r="K23" i="9"/>
  <c r="L23" i="9"/>
  <c r="M23" i="9"/>
  <c r="N23" i="9"/>
  <c r="O23" i="9" s="1"/>
  <c r="P23" i="9" s="1"/>
  <c r="J5" i="9"/>
  <c r="J6" i="9"/>
  <c r="J7" i="9"/>
  <c r="J8" i="9"/>
  <c r="J9" i="9"/>
  <c r="J10" i="9"/>
  <c r="J11" i="9"/>
  <c r="J12" i="9"/>
  <c r="J13" i="9"/>
  <c r="J14" i="9"/>
  <c r="J15" i="9"/>
  <c r="J16" i="9"/>
  <c r="J17" i="9"/>
  <c r="J18" i="9"/>
  <c r="T5" i="9" s="1"/>
  <c r="J19" i="9"/>
  <c r="J20" i="9"/>
  <c r="J22" i="9"/>
  <c r="J23" i="9"/>
  <c r="J24" i="9"/>
  <c r="K24" i="9" s="1"/>
  <c r="L24" i="9" s="1"/>
  <c r="M24" i="9" s="1"/>
  <c r="N24" i="9" s="1"/>
  <c r="O24" i="9" s="1"/>
  <c r="P24" i="9" s="1"/>
  <c r="J25" i="9"/>
  <c r="K25" i="9" s="1"/>
  <c r="L25" i="9" s="1"/>
  <c r="M25" i="9" s="1"/>
  <c r="N25" i="9" s="1"/>
  <c r="O25" i="9" s="1"/>
  <c r="P25" i="9" s="1"/>
  <c r="J4" i="9"/>
  <c r="K4" i="9" s="1"/>
  <c r="L4" i="9" s="1"/>
  <c r="M4" i="9" s="1"/>
  <c r="N4" i="9" s="1"/>
  <c r="O4" i="9" s="1"/>
  <c r="P4" i="9" s="1"/>
  <c r="T10" i="12" l="1"/>
  <c r="W8" i="12"/>
  <c r="N7" i="12"/>
  <c r="T11" i="12"/>
  <c r="T53" i="12" s="1"/>
  <c r="N17" i="12"/>
  <c r="W4" i="12"/>
  <c r="W6" i="12" s="1"/>
  <c r="L24" i="12"/>
  <c r="U9" i="12"/>
  <c r="U10" i="12" s="1"/>
  <c r="U11" i="12" s="1"/>
  <c r="U53" i="12" s="1"/>
  <c r="W7" i="12"/>
  <c r="N4" i="12"/>
  <c r="O14" i="11"/>
  <c r="X4" i="11"/>
  <c r="X6" i="11" s="1"/>
  <c r="T11" i="11"/>
  <c r="T53" i="11" s="1"/>
  <c r="V9" i="11"/>
  <c r="M24" i="11"/>
  <c r="U7" i="11"/>
  <c r="U10" i="11" s="1"/>
  <c r="U11" i="11" s="1"/>
  <c r="U53" i="11" s="1"/>
  <c r="L4" i="11"/>
  <c r="P14" i="10"/>
  <c r="Z4" i="10" s="1"/>
  <c r="Z6" i="10" s="1"/>
  <c r="U7" i="10"/>
  <c r="U10" i="10" s="1"/>
  <c r="U11" i="10" s="1"/>
  <c r="U53" i="10" s="1"/>
  <c r="L4" i="10"/>
  <c r="Y5" i="9"/>
  <c r="X5" i="9"/>
  <c r="W5" i="9"/>
  <c r="V8" i="9"/>
  <c r="M7" i="9"/>
  <c r="T7" i="9"/>
  <c r="T8" i="9"/>
  <c r="V9" i="9"/>
  <c r="T9" i="9"/>
  <c r="U9" i="9"/>
  <c r="Y9" i="9"/>
  <c r="Z9" i="9"/>
  <c r="X9" i="9"/>
  <c r="W9" i="9"/>
  <c r="T4" i="9"/>
  <c r="U4" i="9"/>
  <c r="X7" i="9"/>
  <c r="Z7" i="9"/>
  <c r="Y7" i="9"/>
  <c r="U7" i="9"/>
  <c r="V7" i="9"/>
  <c r="W7" i="9"/>
  <c r="V4" i="9"/>
  <c r="X8" i="12" l="1"/>
  <c r="O7" i="12"/>
  <c r="O17" i="12"/>
  <c r="X4" i="12"/>
  <c r="X6" i="12" s="1"/>
  <c r="M24" i="12"/>
  <c r="V9" i="12"/>
  <c r="V10" i="12" s="1"/>
  <c r="V11" i="12" s="1"/>
  <c r="V53" i="12" s="1"/>
  <c r="X7" i="12"/>
  <c r="O4" i="12"/>
  <c r="Y4" i="11"/>
  <c r="Y6" i="11" s="1"/>
  <c r="P14" i="11"/>
  <c r="Z4" i="11" s="1"/>
  <c r="Z6" i="11" s="1"/>
  <c r="N24" i="11"/>
  <c r="W9" i="11"/>
  <c r="V7" i="11"/>
  <c r="V10" i="11" s="1"/>
  <c r="V11" i="11" s="1"/>
  <c r="V53" i="11" s="1"/>
  <c r="M4" i="11"/>
  <c r="V7" i="10"/>
  <c r="V10" i="10" s="1"/>
  <c r="V11" i="10" s="1"/>
  <c r="V53" i="10" s="1"/>
  <c r="M4" i="10"/>
  <c r="W8" i="9"/>
  <c r="N7" i="9"/>
  <c r="F41" i="2"/>
  <c r="F40" i="2"/>
  <c r="F39" i="2"/>
  <c r="F38" i="2"/>
  <c r="F37" i="2"/>
  <c r="F36" i="2"/>
  <c r="F35" i="2"/>
  <c r="F34" i="2"/>
  <c r="F33" i="2"/>
  <c r="F32" i="2"/>
  <c r="F31" i="2"/>
  <c r="F30" i="2"/>
  <c r="F29" i="2"/>
  <c r="F28" i="2"/>
  <c r="F27" i="2"/>
  <c r="F26" i="2"/>
  <c r="F25" i="2"/>
  <c r="S10" i="9"/>
  <c r="S6" i="9"/>
  <c r="E236" i="8"/>
  <c r="M183" i="2"/>
  <c r="L183" i="2"/>
  <c r="K183" i="2"/>
  <c r="J183" i="2"/>
  <c r="I183" i="2"/>
  <c r="H183" i="2"/>
  <c r="G183" i="2"/>
  <c r="F183" i="2"/>
  <c r="M182" i="2"/>
  <c r="L182" i="2"/>
  <c r="K182" i="2"/>
  <c r="J182" i="2"/>
  <c r="I182" i="2"/>
  <c r="H182" i="2"/>
  <c r="G182" i="2"/>
  <c r="F182" i="2"/>
  <c r="E226" i="2"/>
  <c r="I20" i="9"/>
  <c r="I19" i="9"/>
  <c r="I18" i="9"/>
  <c r="I16" i="9"/>
  <c r="I14" i="9"/>
  <c r="M14" i="9" s="1"/>
  <c r="I12" i="9"/>
  <c r="Y8" i="12" l="1"/>
  <c r="P7" i="12"/>
  <c r="Z8" i="12" s="1"/>
  <c r="Y4" i="12"/>
  <c r="Y6" i="12" s="1"/>
  <c r="P17" i="12"/>
  <c r="Z4" i="12" s="1"/>
  <c r="Z6" i="12" s="1"/>
  <c r="N24" i="12"/>
  <c r="W9" i="12"/>
  <c r="W10" i="12" s="1"/>
  <c r="W11" i="12" s="1"/>
  <c r="W53" i="12" s="1"/>
  <c r="Y7" i="12"/>
  <c r="P4" i="12"/>
  <c r="Z7" i="12" s="1"/>
  <c r="O24" i="11"/>
  <c r="X9" i="11"/>
  <c r="W7" i="11"/>
  <c r="W10" i="11" s="1"/>
  <c r="W11" i="11" s="1"/>
  <c r="W53" i="11" s="1"/>
  <c r="N4" i="11"/>
  <c r="W7" i="10"/>
  <c r="W10" i="10" s="1"/>
  <c r="W11" i="10" s="1"/>
  <c r="W53" i="10" s="1"/>
  <c r="N4" i="10"/>
  <c r="O7" i="9"/>
  <c r="X8" i="9"/>
  <c r="W4" i="9"/>
  <c r="N14" i="9"/>
  <c r="S11" i="9"/>
  <c r="S53" i="9" s="1"/>
  <c r="O24" i="12" l="1"/>
  <c r="X9" i="12"/>
  <c r="X10" i="12" s="1"/>
  <c r="X11" i="12" s="1"/>
  <c r="X53" i="12" s="1"/>
  <c r="P24" i="11"/>
  <c r="Z9" i="11" s="1"/>
  <c r="Y9" i="11"/>
  <c r="X7" i="11"/>
  <c r="X10" i="11" s="1"/>
  <c r="X11" i="11" s="1"/>
  <c r="X53" i="11" s="1"/>
  <c r="O4" i="11"/>
  <c r="X7" i="10"/>
  <c r="X10" i="10" s="1"/>
  <c r="X11" i="10" s="1"/>
  <c r="X53" i="10" s="1"/>
  <c r="O4" i="10"/>
  <c r="P7" i="9"/>
  <c r="Z8" i="9" s="1"/>
  <c r="Y8" i="9"/>
  <c r="O14" i="9"/>
  <c r="X4" i="9"/>
  <c r="T6" i="9"/>
  <c r="T10" i="9"/>
  <c r="Y9" i="12" l="1"/>
  <c r="Y10" i="12" s="1"/>
  <c r="Y11" i="12" s="1"/>
  <c r="Y53" i="12" s="1"/>
  <c r="P24" i="12"/>
  <c r="Z9" i="12" s="1"/>
  <c r="Z10" i="12" s="1"/>
  <c r="Z11" i="12" s="1"/>
  <c r="Z53" i="12" s="1"/>
  <c r="Y7" i="11"/>
  <c r="Y10" i="11" s="1"/>
  <c r="Y11" i="11" s="1"/>
  <c r="Y53" i="11" s="1"/>
  <c r="P4" i="11"/>
  <c r="Z7" i="11" s="1"/>
  <c r="Z10" i="11" s="1"/>
  <c r="Z11" i="11" s="1"/>
  <c r="Z53" i="11" s="1"/>
  <c r="Y7" i="10"/>
  <c r="Y10" i="10" s="1"/>
  <c r="Y11" i="10" s="1"/>
  <c r="Y53" i="10" s="1"/>
  <c r="P4" i="10"/>
  <c r="Z7" i="10" s="1"/>
  <c r="Z10" i="10" s="1"/>
  <c r="Z11" i="10" s="1"/>
  <c r="Z53" i="10" s="1"/>
  <c r="Y4" i="9"/>
  <c r="P14" i="9"/>
  <c r="Z4" i="9" s="1"/>
  <c r="U6" i="9"/>
  <c r="T11" i="9"/>
  <c r="T53" i="9" s="1"/>
  <c r="U10" i="9"/>
  <c r="U11" i="9" l="1"/>
  <c r="U53" i="9" s="1"/>
  <c r="V6" i="9"/>
  <c r="V10" i="9"/>
  <c r="V11" i="9" l="1"/>
  <c r="V53" i="9" s="1"/>
  <c r="W6" i="9"/>
  <c r="W10" i="9"/>
  <c r="W11" i="9" l="1"/>
  <c r="W53" i="9" s="1"/>
  <c r="X6" i="9"/>
  <c r="X10" i="9"/>
  <c r="Y6" i="9" l="1"/>
  <c r="X11" i="9"/>
  <c r="X53" i="9" s="1"/>
  <c r="Z6" i="9"/>
  <c r="Y10" i="9"/>
  <c r="Z10" i="9"/>
  <c r="Y11" i="9" l="1"/>
  <c r="Y53" i="9" s="1"/>
  <c r="Z11" i="9"/>
  <c r="Z53" i="9" s="1"/>
  <c r="M49" i="3"/>
  <c r="L209" i="8"/>
  <c r="K209" i="8"/>
  <c r="J209" i="8"/>
  <c r="H208" i="8"/>
  <c r="I208" i="8" s="1"/>
  <c r="J208" i="8" s="1"/>
  <c r="K208" i="8" s="1"/>
  <c r="L208" i="8" s="1"/>
  <c r="H207" i="8"/>
  <c r="I207" i="8" s="1"/>
  <c r="J207" i="8" s="1"/>
  <c r="K207" i="8" s="1"/>
  <c r="L207" i="8" s="1"/>
  <c r="G207" i="8"/>
  <c r="J118" i="2"/>
  <c r="K118" i="2" s="1"/>
  <c r="L118" i="2" s="1"/>
  <c r="M118" i="2" s="1"/>
  <c r="N118" i="2" s="1"/>
  <c r="G174" i="2"/>
  <c r="G175" i="2"/>
  <c r="G176" i="2"/>
  <c r="G177" i="2"/>
  <c r="G178" i="2"/>
  <c r="F228" i="8"/>
  <c r="E46" i="1"/>
  <c r="D44" i="1"/>
  <c r="E44" i="1"/>
  <c r="F44" i="1" s="1"/>
  <c r="A44" i="1"/>
  <c r="B42" i="3"/>
  <c r="B44" i="1" s="1"/>
  <c r="C42" i="3"/>
  <c r="C44" i="1" s="1"/>
  <c r="D42" i="3"/>
  <c r="N42" i="3" s="1"/>
  <c r="E42" i="3"/>
  <c r="F42" i="3" s="1"/>
  <c r="G42" i="3" s="1"/>
  <c r="H42" i="3" s="1"/>
  <c r="I42" i="3" s="1"/>
  <c r="J42" i="3" s="1"/>
  <c r="K42" i="3" s="1"/>
  <c r="U42" i="3" s="1"/>
  <c r="B43" i="3"/>
  <c r="C43" i="3"/>
  <c r="D43" i="3"/>
  <c r="A42" i="3"/>
  <c r="J101" i="2"/>
  <c r="K101" i="2"/>
  <c r="L101" i="2"/>
  <c r="N101" i="2" s="1"/>
  <c r="M101" i="2"/>
  <c r="H101" i="2"/>
  <c r="D47" i="8"/>
  <c r="C47" i="8"/>
  <c r="B47" i="8"/>
  <c r="H206" i="8"/>
  <c r="I206" i="8" s="1"/>
  <c r="J206" i="8" s="1"/>
  <c r="K206" i="8" s="1"/>
  <c r="L206" i="8" s="1"/>
  <c r="G206" i="8"/>
  <c r="D53" i="8"/>
  <c r="C53" i="8"/>
  <c r="B53" i="8"/>
  <c r="G205" i="8"/>
  <c r="H205" i="8" s="1"/>
  <c r="I205" i="8" s="1"/>
  <c r="J205" i="8" s="1"/>
  <c r="K205" i="8" s="1"/>
  <c r="L205" i="8" s="1"/>
  <c r="H195" i="8"/>
  <c r="I195" i="8" s="1"/>
  <c r="J195" i="8" s="1"/>
  <c r="K195" i="8" s="1"/>
  <c r="L195" i="8" s="1"/>
  <c r="G195" i="8"/>
  <c r="D51" i="8"/>
  <c r="C51" i="8"/>
  <c r="B51" i="8"/>
  <c r="B33" i="8"/>
  <c r="C33" i="8"/>
  <c r="D33" i="8"/>
  <c r="B34" i="8"/>
  <c r="C34" i="8"/>
  <c r="D34" i="8"/>
  <c r="B35" i="8"/>
  <c r="C35" i="8"/>
  <c r="D35" i="8"/>
  <c r="B36" i="8"/>
  <c r="C36" i="8"/>
  <c r="D36" i="8"/>
  <c r="B37" i="8"/>
  <c r="C37" i="8"/>
  <c r="D37" i="8"/>
  <c r="B38" i="8"/>
  <c r="C38" i="8"/>
  <c r="D38" i="8"/>
  <c r="C32" i="8"/>
  <c r="D32" i="8"/>
  <c r="B32" i="8"/>
  <c r="M42" i="8"/>
  <c r="N42" i="8"/>
  <c r="L42" i="8"/>
  <c r="B23" i="8"/>
  <c r="C81" i="2" s="1"/>
  <c r="B19" i="3" s="1"/>
  <c r="C23" i="8"/>
  <c r="D23" i="8"/>
  <c r="D19" i="8"/>
  <c r="E77" i="2" s="1"/>
  <c r="D15" i="3" s="1"/>
  <c r="C19" i="8"/>
  <c r="D77" i="2" s="1"/>
  <c r="C15" i="3" s="1"/>
  <c r="B19" i="8"/>
  <c r="C77" i="2" s="1"/>
  <c r="B15" i="3" s="1"/>
  <c r="D3" i="3"/>
  <c r="C4" i="3"/>
  <c r="G66" i="2"/>
  <c r="G67" i="2"/>
  <c r="G68" i="2"/>
  <c r="G69" i="2"/>
  <c r="G70" i="2"/>
  <c r="G71" i="2"/>
  <c r="G72" i="2"/>
  <c r="G73" i="2"/>
  <c r="G74" i="2"/>
  <c r="G75" i="2"/>
  <c r="G76" i="2"/>
  <c r="G77" i="2"/>
  <c r="G78" i="2"/>
  <c r="G79" i="2"/>
  <c r="G80" i="2"/>
  <c r="F66" i="2"/>
  <c r="F67" i="2"/>
  <c r="F68" i="2"/>
  <c r="F69" i="2"/>
  <c r="F70" i="2"/>
  <c r="F71" i="2"/>
  <c r="F72" i="2"/>
  <c r="F73" i="2"/>
  <c r="F74" i="2"/>
  <c r="F75" i="2"/>
  <c r="F76" i="2"/>
  <c r="F77" i="2"/>
  <c r="F78" i="2"/>
  <c r="F79" i="2"/>
  <c r="F80" i="2"/>
  <c r="F81" i="2"/>
  <c r="F82" i="2"/>
  <c r="F83" i="2"/>
  <c r="F84" i="2"/>
  <c r="D65" i="2"/>
  <c r="C3" i="3" s="1"/>
  <c r="E65" i="2"/>
  <c r="D66" i="2"/>
  <c r="E66" i="2"/>
  <c r="D4" i="3" s="1"/>
  <c r="D67" i="2"/>
  <c r="C5" i="3" s="1"/>
  <c r="M5" i="3" s="1"/>
  <c r="E67" i="2"/>
  <c r="D5" i="3" s="1"/>
  <c r="D68" i="2"/>
  <c r="C6" i="3" s="1"/>
  <c r="E68" i="2"/>
  <c r="D6" i="3" s="1"/>
  <c r="D69" i="2"/>
  <c r="C7" i="3" s="1"/>
  <c r="E69" i="2"/>
  <c r="D7" i="3" s="1"/>
  <c r="D70" i="2"/>
  <c r="C8" i="3" s="1"/>
  <c r="E70" i="2"/>
  <c r="D8" i="3" s="1"/>
  <c r="D71" i="2"/>
  <c r="C9" i="3" s="1"/>
  <c r="E71" i="2"/>
  <c r="D9" i="3" s="1"/>
  <c r="D72" i="2"/>
  <c r="C10" i="3" s="1"/>
  <c r="E72" i="2"/>
  <c r="D10" i="3" s="1"/>
  <c r="D73" i="2"/>
  <c r="C11" i="3" s="1"/>
  <c r="E73" i="2"/>
  <c r="D11" i="3" s="1"/>
  <c r="D74" i="2"/>
  <c r="C12" i="3" s="1"/>
  <c r="E74" i="2"/>
  <c r="D12" i="3" s="1"/>
  <c r="D75" i="2"/>
  <c r="C13" i="3" s="1"/>
  <c r="E75" i="2"/>
  <c r="D13" i="3" s="1"/>
  <c r="D76" i="2"/>
  <c r="C14" i="3" s="1"/>
  <c r="E76" i="2"/>
  <c r="D14" i="3" s="1"/>
  <c r="D78" i="2"/>
  <c r="C16" i="3" s="1"/>
  <c r="E78" i="2"/>
  <c r="D16" i="3" s="1"/>
  <c r="D79" i="2"/>
  <c r="C17" i="3" s="1"/>
  <c r="E79" i="2"/>
  <c r="D17" i="3" s="1"/>
  <c r="D80" i="2"/>
  <c r="C18" i="3" s="1"/>
  <c r="E80" i="2"/>
  <c r="D18" i="3" s="1"/>
  <c r="D81" i="2"/>
  <c r="C19" i="3" s="1"/>
  <c r="E81" i="2"/>
  <c r="D19" i="3" s="1"/>
  <c r="D82" i="2"/>
  <c r="C20" i="3" s="1"/>
  <c r="E82" i="2"/>
  <c r="D20" i="3" s="1"/>
  <c r="D83" i="2"/>
  <c r="C21" i="3" s="1"/>
  <c r="E83" i="2"/>
  <c r="D21" i="3" s="1"/>
  <c r="D84" i="2"/>
  <c r="C22" i="3" s="1"/>
  <c r="E84" i="2"/>
  <c r="D22" i="3" s="1"/>
  <c r="C66" i="2"/>
  <c r="B4" i="3" s="1"/>
  <c r="C67" i="2"/>
  <c r="B5" i="3" s="1"/>
  <c r="C68" i="2"/>
  <c r="B6" i="3" s="1"/>
  <c r="C69" i="2"/>
  <c r="B7" i="3" s="1"/>
  <c r="C70" i="2"/>
  <c r="B8" i="3" s="1"/>
  <c r="C71" i="2"/>
  <c r="B9" i="3" s="1"/>
  <c r="C72" i="2"/>
  <c r="B10" i="3" s="1"/>
  <c r="C73" i="2"/>
  <c r="B11" i="3" s="1"/>
  <c r="C74" i="2"/>
  <c r="B12" i="3" s="1"/>
  <c r="C75" i="2"/>
  <c r="B13" i="3" s="1"/>
  <c r="C76" i="2"/>
  <c r="B14" i="3" s="1"/>
  <c r="C78" i="2"/>
  <c r="B16" i="3" s="1"/>
  <c r="C79" i="2"/>
  <c r="B17" i="3" s="1"/>
  <c r="C80" i="2"/>
  <c r="B18" i="3" s="1"/>
  <c r="C82" i="2"/>
  <c r="B20" i="3" s="1"/>
  <c r="C83" i="2"/>
  <c r="B21" i="3" s="1"/>
  <c r="C84" i="2"/>
  <c r="B22" i="3" s="1"/>
  <c r="A66" i="2"/>
  <c r="A67" i="2"/>
  <c r="A68" i="2"/>
  <c r="A69" i="2"/>
  <c r="A70" i="2"/>
  <c r="A71" i="2"/>
  <c r="A72" i="2"/>
  <c r="A73" i="2"/>
  <c r="A74" i="2"/>
  <c r="A75" i="2"/>
  <c r="A76" i="2"/>
  <c r="A77" i="2"/>
  <c r="A78" i="2"/>
  <c r="A79" i="2"/>
  <c r="A80" i="2"/>
  <c r="A81" i="2"/>
  <c r="A82" i="2"/>
  <c r="A83" i="2"/>
  <c r="A84" i="2"/>
  <c r="D24" i="8"/>
  <c r="C24" i="8"/>
  <c r="D16" i="8"/>
  <c r="C16" i="8"/>
  <c r="B16" i="8"/>
  <c r="D15" i="8"/>
  <c r="C15" i="8"/>
  <c r="B15" i="8"/>
  <c r="D12" i="8"/>
  <c r="C12" i="8"/>
  <c r="B12" i="8"/>
  <c r="A4" i="1"/>
  <c r="A5" i="1"/>
  <c r="A6" i="1"/>
  <c r="A7" i="1"/>
  <c r="A8" i="1"/>
  <c r="A9" i="1"/>
  <c r="A10" i="1"/>
  <c r="A11" i="1"/>
  <c r="A12" i="1"/>
  <c r="A13" i="1"/>
  <c r="A14" i="1"/>
  <c r="A15" i="1"/>
  <c r="A16" i="1"/>
  <c r="A17" i="1"/>
  <c r="A18" i="1"/>
  <c r="A19" i="1"/>
  <c r="A20" i="1"/>
  <c r="A21" i="1"/>
  <c r="A22" i="1"/>
  <c r="A3" i="1"/>
  <c r="A4" i="3"/>
  <c r="A5" i="3"/>
  <c r="A6" i="3"/>
  <c r="A7" i="3"/>
  <c r="A8" i="3"/>
  <c r="A9" i="3"/>
  <c r="A10" i="3"/>
  <c r="A11" i="3"/>
  <c r="A12" i="3"/>
  <c r="A13" i="3"/>
  <c r="A14" i="3"/>
  <c r="A15" i="3"/>
  <c r="A16" i="3"/>
  <c r="A17" i="3"/>
  <c r="A18" i="3"/>
  <c r="A19" i="3"/>
  <c r="A20" i="3"/>
  <c r="A21" i="3"/>
  <c r="A22" i="3"/>
  <c r="A3" i="3"/>
  <c r="N5" i="3" l="1"/>
  <c r="E5" i="3"/>
  <c r="G44" i="1"/>
  <c r="P44" i="1"/>
  <c r="O44" i="1"/>
  <c r="N44" i="1"/>
  <c r="M44" i="1"/>
  <c r="M42" i="3"/>
  <c r="T42" i="3"/>
  <c r="P42" i="3"/>
  <c r="O42" i="3"/>
  <c r="S42" i="3"/>
  <c r="R42" i="3"/>
  <c r="Q42" i="3"/>
  <c r="F5" i="3" l="1"/>
  <c r="O5" i="3"/>
  <c r="H44" i="1"/>
  <c r="Q44" i="1"/>
  <c r="G5" i="3" l="1"/>
  <c r="P5" i="3"/>
  <c r="I44" i="1"/>
  <c r="R44" i="1"/>
  <c r="H5" i="3" l="1"/>
  <c r="Q5" i="3"/>
  <c r="J44" i="1"/>
  <c r="S44" i="1"/>
  <c r="I5" i="3" l="1"/>
  <c r="R5" i="3"/>
  <c r="K44" i="1"/>
  <c r="U44" i="1" s="1"/>
  <c r="T44" i="1"/>
  <c r="J5" i="3" l="1"/>
  <c r="S5" i="3"/>
  <c r="F86" i="8"/>
  <c r="F80" i="8"/>
  <c r="F74" i="8"/>
  <c r="I186" i="8"/>
  <c r="I124" i="8"/>
  <c r="I155" i="8"/>
  <c r="F118" i="8"/>
  <c r="E118" i="8"/>
  <c r="D118" i="8"/>
  <c r="C118" i="8"/>
  <c r="F117" i="8"/>
  <c r="E117" i="8"/>
  <c r="D117" i="8"/>
  <c r="C117" i="8"/>
  <c r="F116" i="8"/>
  <c r="E116" i="8"/>
  <c r="D116" i="8"/>
  <c r="C116" i="8"/>
  <c r="G115" i="8"/>
  <c r="H115" i="8" s="1"/>
  <c r="G114" i="8"/>
  <c r="H114" i="8" s="1"/>
  <c r="I114" i="8" s="1"/>
  <c r="J114" i="8" s="1"/>
  <c r="G113" i="8"/>
  <c r="F180" i="8"/>
  <c r="E180" i="8"/>
  <c r="D180" i="8"/>
  <c r="C180" i="8"/>
  <c r="F179" i="8"/>
  <c r="E179" i="8"/>
  <c r="D179" i="8"/>
  <c r="C179" i="8"/>
  <c r="F178" i="8"/>
  <c r="E178" i="8"/>
  <c r="D178" i="8"/>
  <c r="C178" i="8"/>
  <c r="G177" i="8"/>
  <c r="H177" i="8" s="1"/>
  <c r="I177" i="8" s="1"/>
  <c r="G176" i="8"/>
  <c r="H176" i="8" s="1"/>
  <c r="H175" i="8"/>
  <c r="G175" i="8"/>
  <c r="D147" i="8"/>
  <c r="E147" i="8"/>
  <c r="F147" i="8"/>
  <c r="D148" i="8"/>
  <c r="E148" i="8"/>
  <c r="F148" i="8"/>
  <c r="D149" i="8"/>
  <c r="E149" i="8"/>
  <c r="F149" i="8"/>
  <c r="C148" i="8"/>
  <c r="C149" i="8"/>
  <c r="C147" i="8"/>
  <c r="K5" i="3" l="1"/>
  <c r="T5" i="3"/>
  <c r="T5" i="1" s="1"/>
  <c r="J5" i="1"/>
  <c r="I115" i="8"/>
  <c r="K114" i="8"/>
  <c r="H113" i="8"/>
  <c r="J177" i="8"/>
  <c r="I176" i="8"/>
  <c r="I175" i="8"/>
  <c r="A10" i="7"/>
  <c r="A1" i="8" s="1"/>
  <c r="K5" i="1" l="1"/>
  <c r="U5" i="3"/>
  <c r="U5" i="1" s="1"/>
  <c r="A1" i="6"/>
  <c r="A1" i="2"/>
  <c r="J115" i="8"/>
  <c r="I113" i="8"/>
  <c r="L114" i="8"/>
  <c r="J175" i="8"/>
  <c r="J176" i="8"/>
  <c r="K177" i="8"/>
  <c r="C65" i="2"/>
  <c r="B6" i="1"/>
  <c r="C6" i="1"/>
  <c r="B15" i="1"/>
  <c r="C15" i="1"/>
  <c r="B16" i="1"/>
  <c r="C16" i="1"/>
  <c r="B20" i="1"/>
  <c r="C20" i="1"/>
  <c r="F65" i="2"/>
  <c r="B14" i="1" l="1"/>
  <c r="C11" i="1"/>
  <c r="C5" i="1"/>
  <c r="B21" i="1"/>
  <c r="C18" i="1"/>
  <c r="B13" i="1"/>
  <c r="C10" i="1"/>
  <c r="B5" i="1"/>
  <c r="C19" i="1"/>
  <c r="C21" i="1"/>
  <c r="C13" i="1"/>
  <c r="B8" i="1"/>
  <c r="B18" i="1"/>
  <c r="B10" i="1"/>
  <c r="C7" i="1"/>
  <c r="B12" i="1"/>
  <c r="C12" i="1"/>
  <c r="B7" i="1"/>
  <c r="C4" i="1"/>
  <c r="C9" i="1"/>
  <c r="B17" i="1"/>
  <c r="C14" i="1"/>
  <c r="B9" i="1"/>
  <c r="C17" i="1"/>
  <c r="B19" i="1"/>
  <c r="B11" i="1"/>
  <c r="C8" i="1"/>
  <c r="J113" i="8"/>
  <c r="K115" i="8"/>
  <c r="K176" i="8"/>
  <c r="L177" i="8"/>
  <c r="K175" i="8"/>
  <c r="A27" i="2"/>
  <c r="B27" i="2"/>
  <c r="C27" i="2"/>
  <c r="D27" i="2"/>
  <c r="M5" i="1" l="1"/>
  <c r="L115" i="8"/>
  <c r="K113" i="8"/>
  <c r="L175" i="8"/>
  <c r="L176" i="8"/>
  <c r="L113" i="8" l="1"/>
  <c r="G83" i="2"/>
  <c r="E21" i="3" s="1"/>
  <c r="G84" i="2"/>
  <c r="G82" i="2"/>
  <c r="E20" i="3" s="1"/>
  <c r="E7" i="3"/>
  <c r="E8" i="3"/>
  <c r="E12" i="3"/>
  <c r="E15" i="3"/>
  <c r="E16" i="3"/>
  <c r="G65" i="2"/>
  <c r="E4" i="3"/>
  <c r="E6" i="3"/>
  <c r="E9" i="3"/>
  <c r="E10" i="3"/>
  <c r="E11" i="3"/>
  <c r="E13" i="3"/>
  <c r="E14" i="3"/>
  <c r="E17" i="3"/>
  <c r="E18" i="3"/>
  <c r="E3" i="3"/>
  <c r="A183" i="2"/>
  <c r="A182" i="2"/>
  <c r="H175" i="2"/>
  <c r="I175" i="2"/>
  <c r="J175" i="2"/>
  <c r="K175" i="2"/>
  <c r="L175" i="2"/>
  <c r="M175" i="2"/>
  <c r="H176" i="2"/>
  <c r="I176" i="2"/>
  <c r="J176" i="2"/>
  <c r="K176" i="2"/>
  <c r="L176" i="2"/>
  <c r="M176" i="2"/>
  <c r="H177" i="2"/>
  <c r="I177" i="2"/>
  <c r="J177" i="2"/>
  <c r="K177" i="2"/>
  <c r="L177" i="2"/>
  <c r="M177" i="2"/>
  <c r="H178" i="2"/>
  <c r="I178" i="2"/>
  <c r="J178" i="2"/>
  <c r="K178" i="2"/>
  <c r="L178" i="2"/>
  <c r="M178" i="2"/>
  <c r="I174" i="2"/>
  <c r="J174" i="2"/>
  <c r="K174" i="2"/>
  <c r="L174" i="2"/>
  <c r="M174" i="2"/>
  <c r="H174" i="2"/>
  <c r="D163" i="2"/>
  <c r="E163" i="2"/>
  <c r="F163" i="2"/>
  <c r="G163" i="2"/>
  <c r="H163" i="2"/>
  <c r="I163" i="2"/>
  <c r="J163" i="2"/>
  <c r="K163" i="2"/>
  <c r="L163" i="2"/>
  <c r="M163" i="2"/>
  <c r="D164" i="2"/>
  <c r="E164" i="2"/>
  <c r="F164" i="2"/>
  <c r="G164" i="2"/>
  <c r="H164" i="2"/>
  <c r="I164" i="2"/>
  <c r="J164" i="2"/>
  <c r="K164" i="2"/>
  <c r="L164" i="2"/>
  <c r="M164" i="2"/>
  <c r="D165" i="2"/>
  <c r="E165" i="2"/>
  <c r="F165" i="2"/>
  <c r="G165" i="2"/>
  <c r="H165" i="2"/>
  <c r="I165" i="2"/>
  <c r="J165" i="2"/>
  <c r="K165" i="2"/>
  <c r="L165" i="2"/>
  <c r="M165" i="2"/>
  <c r="D166" i="2"/>
  <c r="E166" i="2"/>
  <c r="F166" i="2"/>
  <c r="G166" i="2"/>
  <c r="H166" i="2"/>
  <c r="I166" i="2"/>
  <c r="J166" i="2"/>
  <c r="K166" i="2"/>
  <c r="L166" i="2"/>
  <c r="M166" i="2"/>
  <c r="D167" i="2"/>
  <c r="E167" i="2"/>
  <c r="F167" i="2"/>
  <c r="G167" i="2"/>
  <c r="H167" i="2"/>
  <c r="I167" i="2"/>
  <c r="J167" i="2"/>
  <c r="K167" i="2"/>
  <c r="L167" i="2"/>
  <c r="M167" i="2"/>
  <c r="D168" i="2"/>
  <c r="E168" i="2"/>
  <c r="F168" i="2"/>
  <c r="G168" i="2"/>
  <c r="H168" i="2"/>
  <c r="I168" i="2"/>
  <c r="J168" i="2"/>
  <c r="K168" i="2"/>
  <c r="L168" i="2"/>
  <c r="M168" i="2"/>
  <c r="E162" i="2"/>
  <c r="F162" i="2"/>
  <c r="G162" i="2"/>
  <c r="H162" i="2"/>
  <c r="I162" i="2"/>
  <c r="J162" i="2"/>
  <c r="K162" i="2"/>
  <c r="L162" i="2"/>
  <c r="M162" i="2"/>
  <c r="D162" i="2"/>
  <c r="A163" i="2"/>
  <c r="A164" i="2"/>
  <c r="A165" i="2"/>
  <c r="A166" i="2"/>
  <c r="A167" i="2"/>
  <c r="A168" i="2"/>
  <c r="A162" i="2"/>
  <c r="A154" i="2"/>
  <c r="A155" i="2"/>
  <c r="A156" i="2"/>
  <c r="A157" i="2"/>
  <c r="D154" i="2"/>
  <c r="E154" i="2"/>
  <c r="F154" i="2"/>
  <c r="G154" i="2"/>
  <c r="H154" i="2"/>
  <c r="I154" i="2"/>
  <c r="J154" i="2"/>
  <c r="K154" i="2"/>
  <c r="L154" i="2"/>
  <c r="M154" i="2"/>
  <c r="D155" i="2"/>
  <c r="E155" i="2"/>
  <c r="F155" i="2"/>
  <c r="G155" i="2"/>
  <c r="E47" i="1" s="1"/>
  <c r="H155" i="2"/>
  <c r="I155" i="2"/>
  <c r="J155" i="2"/>
  <c r="K155" i="2"/>
  <c r="L155" i="2"/>
  <c r="M155" i="2"/>
  <c r="D156" i="2"/>
  <c r="E156" i="2"/>
  <c r="F156" i="2"/>
  <c r="G156" i="2"/>
  <c r="H156" i="2"/>
  <c r="I156" i="2"/>
  <c r="J156" i="2"/>
  <c r="K156" i="2"/>
  <c r="L156" i="2"/>
  <c r="M156" i="2"/>
  <c r="D157" i="2"/>
  <c r="E157" i="2"/>
  <c r="F157" i="2"/>
  <c r="G157" i="2"/>
  <c r="H157" i="2"/>
  <c r="I157" i="2"/>
  <c r="J157" i="2"/>
  <c r="K157" i="2"/>
  <c r="L157" i="2"/>
  <c r="M157" i="2"/>
  <c r="E153" i="2"/>
  <c r="F153" i="2"/>
  <c r="G153" i="2"/>
  <c r="H153" i="2"/>
  <c r="I153" i="2"/>
  <c r="J153" i="2"/>
  <c r="K153" i="2"/>
  <c r="L153" i="2"/>
  <c r="M153" i="2"/>
  <c r="D153" i="2"/>
  <c r="A153" i="2"/>
  <c r="A145" i="2"/>
  <c r="A146" i="2"/>
  <c r="A147" i="2"/>
  <c r="A148" i="2"/>
  <c r="A144" i="2"/>
  <c r="D145" i="2"/>
  <c r="E145" i="2"/>
  <c r="F145" i="2"/>
  <c r="G145" i="2"/>
  <c r="H145" i="2"/>
  <c r="I145" i="2"/>
  <c r="J145" i="2"/>
  <c r="K145" i="2"/>
  <c r="L145" i="2"/>
  <c r="M145" i="2"/>
  <c r="D146" i="2"/>
  <c r="E146" i="2"/>
  <c r="F146" i="2"/>
  <c r="G146" i="2"/>
  <c r="H146" i="2"/>
  <c r="I146" i="2"/>
  <c r="J146" i="2"/>
  <c r="K146" i="2"/>
  <c r="L146" i="2"/>
  <c r="M146" i="2"/>
  <c r="D147" i="2"/>
  <c r="E147" i="2"/>
  <c r="F147" i="2"/>
  <c r="G147" i="2"/>
  <c r="H147" i="2"/>
  <c r="I147" i="2"/>
  <c r="J147" i="2"/>
  <c r="K147" i="2"/>
  <c r="L147" i="2"/>
  <c r="M147" i="2"/>
  <c r="D148" i="2"/>
  <c r="E148" i="2"/>
  <c r="F148" i="2"/>
  <c r="G148" i="2"/>
  <c r="H148" i="2"/>
  <c r="I148" i="2"/>
  <c r="J148" i="2"/>
  <c r="K148" i="2"/>
  <c r="L148" i="2"/>
  <c r="M148" i="2"/>
  <c r="E144" i="2"/>
  <c r="F144" i="2"/>
  <c r="G144" i="2"/>
  <c r="E44" i="3" s="1"/>
  <c r="H144" i="2"/>
  <c r="I144" i="2"/>
  <c r="J144" i="2"/>
  <c r="K144" i="2"/>
  <c r="L144" i="2"/>
  <c r="M144" i="2"/>
  <c r="D144" i="2"/>
  <c r="K102" i="2"/>
  <c r="L102" i="2"/>
  <c r="D45" i="1" s="1"/>
  <c r="K103" i="2"/>
  <c r="L103" i="2"/>
  <c r="D46" i="1" s="1"/>
  <c r="K104" i="2"/>
  <c r="L104" i="2"/>
  <c r="D47" i="1" s="1"/>
  <c r="K105" i="2"/>
  <c r="L105" i="2"/>
  <c r="D48" i="1" s="1"/>
  <c r="J103" i="2"/>
  <c r="J104" i="2"/>
  <c r="J105" i="2"/>
  <c r="J102" i="2"/>
  <c r="J95" i="2"/>
  <c r="K95" i="2"/>
  <c r="L95" i="2"/>
  <c r="D38" i="1" s="1"/>
  <c r="J96" i="2"/>
  <c r="K96" i="2"/>
  <c r="L96" i="2"/>
  <c r="D39" i="1" s="1"/>
  <c r="J97" i="2"/>
  <c r="K97" i="2"/>
  <c r="L97" i="2"/>
  <c r="D40" i="1" s="1"/>
  <c r="J98" i="2"/>
  <c r="K98" i="2"/>
  <c r="L98" i="2"/>
  <c r="D41" i="1" s="1"/>
  <c r="J99" i="2"/>
  <c r="K99" i="2"/>
  <c r="L99" i="2"/>
  <c r="D42" i="1" s="1"/>
  <c r="K94" i="2"/>
  <c r="L94" i="2"/>
  <c r="D37" i="1" s="1"/>
  <c r="J94" i="2"/>
  <c r="M103" i="2"/>
  <c r="M104" i="2"/>
  <c r="M105" i="2"/>
  <c r="M102" i="2"/>
  <c r="M95" i="2"/>
  <c r="M96" i="2"/>
  <c r="M97" i="2"/>
  <c r="M98" i="2"/>
  <c r="M99" i="2"/>
  <c r="M94" i="2"/>
  <c r="F99" i="2"/>
  <c r="F100" i="2"/>
  <c r="F102" i="2"/>
  <c r="F103" i="2"/>
  <c r="F104" i="2"/>
  <c r="F105" i="2"/>
  <c r="F98" i="2"/>
  <c r="E98" i="2"/>
  <c r="E99" i="2"/>
  <c r="E100" i="2"/>
  <c r="E102" i="2"/>
  <c r="E103" i="2"/>
  <c r="E104" i="2"/>
  <c r="E105" i="2"/>
  <c r="D98" i="2"/>
  <c r="D99" i="2"/>
  <c r="D100" i="2"/>
  <c r="D102" i="2"/>
  <c r="D103" i="2"/>
  <c r="D104" i="2"/>
  <c r="D105" i="2"/>
  <c r="C99" i="2"/>
  <c r="C100" i="2"/>
  <c r="C102" i="2"/>
  <c r="C103" i="2"/>
  <c r="C104" i="2"/>
  <c r="C105" i="2"/>
  <c r="C98" i="2"/>
  <c r="E46" i="3" l="1"/>
  <c r="E45" i="3"/>
  <c r="H47" i="1"/>
  <c r="H46" i="1"/>
  <c r="F47" i="1"/>
  <c r="K48" i="1"/>
  <c r="F46" i="1"/>
  <c r="I48" i="1"/>
  <c r="G46" i="1"/>
  <c r="G47" i="1"/>
  <c r="J48" i="1"/>
  <c r="D43" i="1"/>
  <c r="K46" i="1"/>
  <c r="K47" i="1"/>
  <c r="H48" i="1"/>
  <c r="J46" i="1"/>
  <c r="J47" i="1"/>
  <c r="G48" i="1"/>
  <c r="I46" i="1"/>
  <c r="I47" i="1"/>
  <c r="F48" i="1"/>
  <c r="N104" i="2"/>
  <c r="N103" i="2"/>
  <c r="F119" i="2" l="1"/>
  <c r="F120" i="2"/>
  <c r="F121" i="2"/>
  <c r="F118" i="2"/>
  <c r="F112" i="2"/>
  <c r="F113" i="2"/>
  <c r="F114" i="2"/>
  <c r="F115" i="2"/>
  <c r="F116" i="2"/>
  <c r="F111" i="2"/>
  <c r="H95" i="2"/>
  <c r="H96" i="2"/>
  <c r="H97" i="2"/>
  <c r="H98" i="2"/>
  <c r="H99" i="2"/>
  <c r="H100" i="2"/>
  <c r="H102" i="2"/>
  <c r="H103" i="2"/>
  <c r="H104" i="2"/>
  <c r="H105" i="2"/>
  <c r="H106" i="2"/>
  <c r="H94" i="2"/>
  <c r="A99" i="2"/>
  <c r="A100" i="2"/>
  <c r="A102" i="2"/>
  <c r="A103" i="2"/>
  <c r="A104" i="2"/>
  <c r="A105" i="2"/>
  <c r="A98" i="2"/>
  <c r="A65" i="2" l="1"/>
  <c r="A61" i="2"/>
  <c r="A62" i="2"/>
  <c r="A60" i="2"/>
  <c r="A49" i="2"/>
  <c r="A50" i="2"/>
  <c r="A51" i="2"/>
  <c r="A52" i="2"/>
  <c r="A53" i="2"/>
  <c r="A54" i="2"/>
  <c r="A55" i="2"/>
  <c r="A56" i="2"/>
  <c r="A57" i="2"/>
  <c r="A58" i="2"/>
  <c r="A59" i="2"/>
  <c r="A48" i="2"/>
  <c r="A47" i="2"/>
  <c r="A46" i="2"/>
  <c r="D123" i="8" l="1"/>
  <c r="E123" i="8"/>
  <c r="F123" i="8"/>
  <c r="C123" i="8"/>
  <c r="D154" i="8"/>
  <c r="E154" i="8"/>
  <c r="F154" i="8"/>
  <c r="C154" i="8"/>
  <c r="F181" i="8" l="1"/>
  <c r="G141" i="8"/>
  <c r="F150" i="8"/>
  <c r="H141" i="8" l="1"/>
  <c r="G146" i="8"/>
  <c r="G145" i="8"/>
  <c r="H145" i="8" s="1"/>
  <c r="G144" i="8"/>
  <c r="H144" i="8" s="1"/>
  <c r="F119" i="8"/>
  <c r="G147" i="8" l="1"/>
  <c r="I141" i="8"/>
  <c r="H147" i="8"/>
  <c r="I145" i="8"/>
  <c r="I144" i="8"/>
  <c r="H146" i="8"/>
  <c r="J141" i="8" l="1"/>
  <c r="I147" i="8"/>
  <c r="J145" i="8"/>
  <c r="I146" i="8"/>
  <c r="J144" i="8"/>
  <c r="K141" i="8" l="1"/>
  <c r="J147" i="8"/>
  <c r="J146" i="8"/>
  <c r="K145" i="8"/>
  <c r="K144" i="8"/>
  <c r="L141" i="8" l="1"/>
  <c r="K147" i="8"/>
  <c r="K146" i="8"/>
  <c r="L144" i="8"/>
  <c r="L145" i="8"/>
  <c r="L147" i="8" l="1"/>
  <c r="L146" i="8"/>
  <c r="M47" i="2" l="1"/>
  <c r="L47" i="2"/>
  <c r="K47" i="2"/>
  <c r="I47" i="2"/>
  <c r="H47" i="2"/>
  <c r="G47" i="2"/>
  <c r="K23" i="2" l="1"/>
  <c r="J23" i="2"/>
  <c r="I23" i="2"/>
  <c r="H23" i="2"/>
  <c r="G94" i="2" l="1"/>
  <c r="A38" i="1"/>
  <c r="A39" i="1"/>
  <c r="A40" i="1"/>
  <c r="A41" i="1"/>
  <c r="A42" i="1"/>
  <c r="A43" i="1"/>
  <c r="A45" i="1"/>
  <c r="A46" i="1"/>
  <c r="A47" i="1"/>
  <c r="A48" i="1"/>
  <c r="A37" i="1"/>
  <c r="A29" i="1"/>
  <c r="A30" i="1"/>
  <c r="A31" i="1"/>
  <c r="A32" i="1"/>
  <c r="A33" i="1"/>
  <c r="A34" i="1"/>
  <c r="A28" i="1"/>
  <c r="A27" i="3"/>
  <c r="A28" i="3"/>
  <c r="A29" i="3"/>
  <c r="A30" i="3"/>
  <c r="A31" i="3"/>
  <c r="A32" i="3"/>
  <c r="A26" i="3"/>
  <c r="A36" i="3"/>
  <c r="A37" i="3"/>
  <c r="A38" i="3"/>
  <c r="A39" i="3"/>
  <c r="A40" i="3"/>
  <c r="A41" i="3"/>
  <c r="A43" i="3"/>
  <c r="A44" i="3"/>
  <c r="A45" i="3"/>
  <c r="A46" i="3"/>
  <c r="A35" i="3"/>
  <c r="N102" i="2" l="1"/>
  <c r="E43" i="3" s="1"/>
  <c r="F43" i="3" s="1"/>
  <c r="G43" i="3" s="1"/>
  <c r="H43" i="3" s="1"/>
  <c r="I43" i="3" s="1"/>
  <c r="J43" i="3" s="1"/>
  <c r="K43" i="3" s="1"/>
  <c r="N99" i="2"/>
  <c r="N97" i="2"/>
  <c r="N95" i="2"/>
  <c r="F106" i="2"/>
  <c r="E36" i="3" l="1"/>
  <c r="E38" i="1"/>
  <c r="E38" i="3"/>
  <c r="E40" i="1"/>
  <c r="F40" i="1" s="1"/>
  <c r="G40" i="1" s="1"/>
  <c r="H40" i="1" s="1"/>
  <c r="I40" i="1" s="1"/>
  <c r="J40" i="1" s="1"/>
  <c r="K40" i="1" s="1"/>
  <c r="E40" i="3"/>
  <c r="E42" i="1"/>
  <c r="F42" i="1" s="1"/>
  <c r="G42" i="1" s="1"/>
  <c r="H42" i="1" s="1"/>
  <c r="I42" i="1" s="1"/>
  <c r="J42" i="1" s="1"/>
  <c r="K42" i="1" s="1"/>
  <c r="E45" i="1"/>
  <c r="F45" i="1" s="1"/>
  <c r="G45" i="1" s="1"/>
  <c r="H45" i="1" s="1"/>
  <c r="I45" i="1" s="1"/>
  <c r="J45" i="1" s="1"/>
  <c r="K45" i="1" s="1"/>
  <c r="E35" i="2"/>
  <c r="D67" i="8" l="1"/>
  <c r="D93" i="2" s="1"/>
  <c r="E67" i="8"/>
  <c r="E93" i="2" s="1"/>
  <c r="C67" i="8"/>
  <c r="C93" i="2" s="1"/>
  <c r="C150" i="8"/>
  <c r="C152" i="8" s="1"/>
  <c r="D150" i="8"/>
  <c r="D152" i="8" s="1"/>
  <c r="E150" i="8"/>
  <c r="E152" i="8" s="1"/>
  <c r="B88" i="8"/>
  <c r="H39" i="2"/>
  <c r="D20" i="1" s="1"/>
  <c r="C60" i="2"/>
  <c r="D60" i="2"/>
  <c r="E60" i="2"/>
  <c r="G60" i="2"/>
  <c r="I39" i="2" s="1"/>
  <c r="H60" i="2"/>
  <c r="I60" i="2"/>
  <c r="K60" i="2"/>
  <c r="L60" i="2"/>
  <c r="M60" i="2"/>
  <c r="J39" i="2" s="1"/>
  <c r="K39" i="2" s="1"/>
  <c r="F20" i="3"/>
  <c r="G20" i="3" s="1"/>
  <c r="H20" i="3" s="1"/>
  <c r="I20" i="3" s="1"/>
  <c r="J20" i="3" s="1"/>
  <c r="K20" i="3" s="1"/>
  <c r="M20" i="1" l="1"/>
  <c r="N20" i="1"/>
  <c r="E20" i="1"/>
  <c r="M39" i="2"/>
  <c r="F20" i="1"/>
  <c r="L39" i="2"/>
  <c r="M20" i="3"/>
  <c r="N20" i="3"/>
  <c r="O20" i="3"/>
  <c r="O20" i="1" l="1"/>
  <c r="P20" i="1"/>
  <c r="P20" i="3"/>
  <c r="G20" i="1"/>
  <c r="Q20" i="1" s="1"/>
  <c r="C119" i="8"/>
  <c r="C121" i="8" s="1"/>
  <c r="D119" i="8"/>
  <c r="D121" i="8" s="1"/>
  <c r="E119" i="8"/>
  <c r="E121" i="8" s="1"/>
  <c r="N98" i="2" l="1"/>
  <c r="Q20" i="3"/>
  <c r="H20" i="1"/>
  <c r="R20" i="1" s="1"/>
  <c r="H185" i="8"/>
  <c r="H186" i="8" s="1"/>
  <c r="I185" i="8"/>
  <c r="J185" i="8"/>
  <c r="J186" i="8" s="1"/>
  <c r="K185" i="8"/>
  <c r="K186" i="8" s="1"/>
  <c r="L185" i="8"/>
  <c r="L186" i="8" s="1"/>
  <c r="G185" i="8"/>
  <c r="G186" i="8" s="1"/>
  <c r="G123" i="8"/>
  <c r="E39" i="3" l="1"/>
  <c r="E41" i="1"/>
  <c r="F41" i="1" s="1"/>
  <c r="G41" i="1" s="1"/>
  <c r="H41" i="1" s="1"/>
  <c r="I41" i="1" s="1"/>
  <c r="J41" i="1" s="1"/>
  <c r="K41" i="1" s="1"/>
  <c r="G124" i="8"/>
  <c r="G125" i="8" s="1"/>
  <c r="R20" i="3"/>
  <c r="I20" i="1"/>
  <c r="S20" i="1" s="1"/>
  <c r="F121" i="8"/>
  <c r="G112" i="8"/>
  <c r="G118" i="8" s="1"/>
  <c r="G111" i="8"/>
  <c r="G117" i="8" s="1"/>
  <c r="G110" i="8"/>
  <c r="G116" i="8" s="1"/>
  <c r="C104" i="8"/>
  <c r="F183" i="8"/>
  <c r="G174" i="8"/>
  <c r="G180" i="8" s="1"/>
  <c r="G173" i="8"/>
  <c r="G179" i="8" s="1"/>
  <c r="G172" i="8"/>
  <c r="G178" i="8" s="1"/>
  <c r="C166" i="8"/>
  <c r="F152" i="8"/>
  <c r="G142" i="8"/>
  <c r="G148" i="8" s="1"/>
  <c r="G143" i="8"/>
  <c r="G149" i="8" s="1"/>
  <c r="C135" i="8"/>
  <c r="H154" i="8"/>
  <c r="H155" i="8" s="1"/>
  <c r="I154" i="8"/>
  <c r="J154" i="8"/>
  <c r="J155" i="8" s="1"/>
  <c r="K154" i="8"/>
  <c r="K155" i="8" s="1"/>
  <c r="G154" i="8"/>
  <c r="G155" i="8" s="1"/>
  <c r="H123" i="8"/>
  <c r="H124" i="8" s="1"/>
  <c r="I123" i="8"/>
  <c r="J123" i="8"/>
  <c r="J124" i="8" s="1"/>
  <c r="K123" i="8"/>
  <c r="K124" i="8" s="1"/>
  <c r="C125" i="8"/>
  <c r="C92" i="8"/>
  <c r="L154" i="8"/>
  <c r="L155" i="8" s="1"/>
  <c r="C128" i="8" l="1"/>
  <c r="C158" i="8"/>
  <c r="C137" i="8"/>
  <c r="C138" i="8"/>
  <c r="C136" i="8"/>
  <c r="C189" i="8"/>
  <c r="C169" i="8"/>
  <c r="C168" i="8"/>
  <c r="C167" i="8"/>
  <c r="C127" i="8"/>
  <c r="C107" i="8"/>
  <c r="C106" i="8"/>
  <c r="C105" i="8"/>
  <c r="H173" i="8"/>
  <c r="H179" i="8" s="1"/>
  <c r="H172" i="8"/>
  <c r="H178" i="8" s="1"/>
  <c r="H174" i="8"/>
  <c r="H180" i="8" s="1"/>
  <c r="H142" i="8"/>
  <c r="H148" i="8" s="1"/>
  <c r="H143" i="8"/>
  <c r="H149" i="8" s="1"/>
  <c r="H111" i="8"/>
  <c r="H117" i="8" s="1"/>
  <c r="H112" i="8"/>
  <c r="H118" i="8" s="1"/>
  <c r="H110" i="8"/>
  <c r="H116" i="8" s="1"/>
  <c r="D166" i="8"/>
  <c r="D189" i="8" s="1"/>
  <c r="C188" i="8"/>
  <c r="C126" i="8"/>
  <c r="D137" i="8"/>
  <c r="C157" i="8"/>
  <c r="S20" i="3"/>
  <c r="J20" i="1"/>
  <c r="D106" i="8"/>
  <c r="D104" i="8"/>
  <c r="D127" i="8" s="1"/>
  <c r="D105" i="8"/>
  <c r="D168" i="8"/>
  <c r="L123" i="8"/>
  <c r="L124" i="8" s="1"/>
  <c r="D135" i="8"/>
  <c r="D167" i="8"/>
  <c r="C129" i="8" l="1"/>
  <c r="I173" i="8"/>
  <c r="I179" i="8" s="1"/>
  <c r="I172" i="8"/>
  <c r="I178" i="8" s="1"/>
  <c r="I174" i="8"/>
  <c r="I180" i="8" s="1"/>
  <c r="I111" i="8"/>
  <c r="I117" i="8" s="1"/>
  <c r="I143" i="8"/>
  <c r="I149" i="8" s="1"/>
  <c r="I142" i="8"/>
  <c r="I148" i="8" s="1"/>
  <c r="E106" i="8"/>
  <c r="I112" i="8"/>
  <c r="I118" i="8" s="1"/>
  <c r="D157" i="8"/>
  <c r="D158" i="8"/>
  <c r="I110" i="8"/>
  <c r="I116" i="8" s="1"/>
  <c r="C170" i="8"/>
  <c r="E104" i="8"/>
  <c r="E127" i="8" s="1"/>
  <c r="D126" i="8"/>
  <c r="E166" i="8"/>
  <c r="E189" i="8" s="1"/>
  <c r="D188" i="8"/>
  <c r="K20" i="1"/>
  <c r="T20" i="3"/>
  <c r="D107" i="8"/>
  <c r="E107" i="8" s="1"/>
  <c r="C108" i="8"/>
  <c r="D138" i="8"/>
  <c r="D134" i="8" s="1"/>
  <c r="E167" i="8"/>
  <c r="D169" i="8"/>
  <c r="D165" i="8" s="1"/>
  <c r="D164" i="8"/>
  <c r="E168" i="8"/>
  <c r="E105" i="8"/>
  <c r="D163" i="8"/>
  <c r="D136" i="8"/>
  <c r="D132" i="8" s="1"/>
  <c r="C139" i="8"/>
  <c r="E137" i="8"/>
  <c r="E135" i="8"/>
  <c r="D133" i="8"/>
  <c r="G119" i="8" l="1"/>
  <c r="G181" i="8"/>
  <c r="J173" i="8"/>
  <c r="J179" i="8" s="1"/>
  <c r="J172" i="8"/>
  <c r="J178" i="8" s="1"/>
  <c r="J174" i="8"/>
  <c r="J180" i="8" s="1"/>
  <c r="G150" i="8"/>
  <c r="J142" i="8"/>
  <c r="J148" i="8" s="1"/>
  <c r="J143" i="8"/>
  <c r="J149" i="8" s="1"/>
  <c r="J111" i="8"/>
  <c r="J117" i="8" s="1"/>
  <c r="G151" i="8"/>
  <c r="F106" i="8"/>
  <c r="H119" i="8"/>
  <c r="J112" i="8"/>
  <c r="J118" i="8" s="1"/>
  <c r="E164" i="8"/>
  <c r="E157" i="8"/>
  <c r="E158" i="8"/>
  <c r="D170" i="8"/>
  <c r="J110" i="8"/>
  <c r="J116" i="8" s="1"/>
  <c r="H120" i="8"/>
  <c r="G120" i="8"/>
  <c r="F166" i="8"/>
  <c r="F189" i="8" s="1"/>
  <c r="E188" i="8"/>
  <c r="F104" i="8"/>
  <c r="F127" i="8" s="1"/>
  <c r="E126" i="8"/>
  <c r="F107" i="8"/>
  <c r="U20" i="3"/>
  <c r="F168" i="8"/>
  <c r="E169" i="8"/>
  <c r="F169" i="8" s="1"/>
  <c r="F105" i="8"/>
  <c r="F167" i="8"/>
  <c r="F163" i="8" s="1"/>
  <c r="E163" i="8"/>
  <c r="G182" i="8"/>
  <c r="F135" i="8"/>
  <c r="E133" i="8"/>
  <c r="F137" i="8"/>
  <c r="E136" i="8"/>
  <c r="D139" i="8"/>
  <c r="E138" i="8"/>
  <c r="E134" i="8" s="1"/>
  <c r="C90" i="8"/>
  <c r="F164" i="8" l="1"/>
  <c r="H181" i="8"/>
  <c r="I181" i="8"/>
  <c r="F165" i="8"/>
  <c r="K173" i="8"/>
  <c r="K179" i="8" s="1"/>
  <c r="K172" i="8"/>
  <c r="K178" i="8" s="1"/>
  <c r="K174" i="8"/>
  <c r="K180" i="8" s="1"/>
  <c r="G152" i="8"/>
  <c r="H150" i="8"/>
  <c r="K111" i="8"/>
  <c r="K117" i="8" s="1"/>
  <c r="K143" i="8"/>
  <c r="K149" i="8" s="1"/>
  <c r="K142" i="8"/>
  <c r="K148" i="8" s="1"/>
  <c r="I119" i="8"/>
  <c r="G106" i="8"/>
  <c r="K112" i="8"/>
  <c r="K118" i="8" s="1"/>
  <c r="F157" i="8"/>
  <c r="F158" i="8"/>
  <c r="K110" i="8"/>
  <c r="K116" i="8" s="1"/>
  <c r="G121" i="8"/>
  <c r="G104" i="8"/>
  <c r="G127" i="8" s="1"/>
  <c r="F126" i="8"/>
  <c r="G166" i="8"/>
  <c r="G189" i="8" s="1"/>
  <c r="F188" i="8"/>
  <c r="I120" i="8"/>
  <c r="E165" i="8"/>
  <c r="H182" i="8"/>
  <c r="G183" i="8"/>
  <c r="H151" i="8"/>
  <c r="H121" i="8"/>
  <c r="G168" i="8"/>
  <c r="G164" i="8" s="1"/>
  <c r="G169" i="8"/>
  <c r="G105" i="8"/>
  <c r="G107" i="8"/>
  <c r="F138" i="8"/>
  <c r="F134" i="8" s="1"/>
  <c r="E170" i="8"/>
  <c r="G167" i="8"/>
  <c r="I182" i="8"/>
  <c r="G137" i="8"/>
  <c r="G135" i="8"/>
  <c r="F133" i="8"/>
  <c r="F136" i="8"/>
  <c r="E139" i="8"/>
  <c r="E132" i="8"/>
  <c r="F170" i="8"/>
  <c r="M62" i="2"/>
  <c r="M61" i="2"/>
  <c r="M59" i="2"/>
  <c r="M58" i="2"/>
  <c r="M57" i="2"/>
  <c r="M56" i="2"/>
  <c r="M55" i="2"/>
  <c r="M54" i="2"/>
  <c r="M53" i="2"/>
  <c r="M52" i="2"/>
  <c r="M51" i="2"/>
  <c r="M50" i="2"/>
  <c r="J29" i="2" s="1"/>
  <c r="M49" i="2"/>
  <c r="M48" i="2"/>
  <c r="M46" i="2"/>
  <c r="M218" i="2"/>
  <c r="M216" i="2"/>
  <c r="M215" i="2"/>
  <c r="M214" i="2"/>
  <c r="A1" i="1"/>
  <c r="A1" i="3"/>
  <c r="B45" i="3"/>
  <c r="C45" i="3"/>
  <c r="D45" i="3"/>
  <c r="C37" i="3"/>
  <c r="D37" i="3"/>
  <c r="C38" i="3"/>
  <c r="D38" i="3"/>
  <c r="C40" i="3"/>
  <c r="D40" i="3"/>
  <c r="B38" i="3"/>
  <c r="B40" i="3"/>
  <c r="L29" i="2" l="1"/>
  <c r="K29" i="2"/>
  <c r="M29" i="2"/>
  <c r="G163" i="8"/>
  <c r="J181" i="8"/>
  <c r="L173" i="8"/>
  <c r="L179" i="8" s="1"/>
  <c r="L172" i="8"/>
  <c r="L178" i="8" s="1"/>
  <c r="L174" i="8"/>
  <c r="L180" i="8" s="1"/>
  <c r="I150" i="8"/>
  <c r="L142" i="8"/>
  <c r="L148" i="8" s="1"/>
  <c r="L143" i="8"/>
  <c r="L149" i="8" s="1"/>
  <c r="L111" i="8"/>
  <c r="L117" i="8" s="1"/>
  <c r="J119" i="8"/>
  <c r="H106" i="8"/>
  <c r="L112" i="8"/>
  <c r="L118" i="8" s="1"/>
  <c r="G157" i="8"/>
  <c r="G158" i="8"/>
  <c r="G165" i="8"/>
  <c r="L110" i="8"/>
  <c r="L116" i="8" s="1"/>
  <c r="H166" i="8"/>
  <c r="H189" i="8" s="1"/>
  <c r="G188" i="8"/>
  <c r="H104" i="8"/>
  <c r="H127" i="8" s="1"/>
  <c r="G126" i="8"/>
  <c r="G128" i="8" s="1"/>
  <c r="H183" i="8"/>
  <c r="I121" i="8"/>
  <c r="J120" i="8"/>
  <c r="H152" i="8"/>
  <c r="I151" i="8"/>
  <c r="G138" i="8"/>
  <c r="G134" i="8" s="1"/>
  <c r="H167" i="8"/>
  <c r="J182" i="8"/>
  <c r="H105" i="8"/>
  <c r="H107" i="8"/>
  <c r="F132" i="8"/>
  <c r="H169" i="8"/>
  <c r="H168" i="8"/>
  <c r="I183" i="8"/>
  <c r="H137" i="8"/>
  <c r="G136" i="8"/>
  <c r="F139" i="8"/>
  <c r="H135" i="8"/>
  <c r="G133" i="8"/>
  <c r="G170" i="8"/>
  <c r="C56" i="3"/>
  <c r="B56" i="3"/>
  <c r="B54" i="3"/>
  <c r="B37" i="3"/>
  <c r="C36" i="3"/>
  <c r="D36" i="3"/>
  <c r="B36" i="3"/>
  <c r="C26" i="3"/>
  <c r="C27" i="3"/>
  <c r="C28" i="3"/>
  <c r="C29" i="3"/>
  <c r="C30" i="3"/>
  <c r="C31" i="3"/>
  <c r="C32" i="3"/>
  <c r="B27" i="3"/>
  <c r="B28" i="3"/>
  <c r="B29" i="3"/>
  <c r="B30" i="3"/>
  <c r="B31" i="3"/>
  <c r="B32" i="3"/>
  <c r="B26" i="3"/>
  <c r="F7" i="3"/>
  <c r="G7" i="3" s="1"/>
  <c r="H7" i="3" s="1"/>
  <c r="I7" i="3" s="1"/>
  <c r="J7" i="3" s="1"/>
  <c r="K7" i="3" s="1"/>
  <c r="F8" i="3"/>
  <c r="G8" i="3" s="1"/>
  <c r="H8" i="3" s="1"/>
  <c r="I8" i="3" s="1"/>
  <c r="J8" i="3" s="1"/>
  <c r="F9" i="3"/>
  <c r="G9" i="3" s="1"/>
  <c r="H9" i="3" s="1"/>
  <c r="I9" i="3" s="1"/>
  <c r="J9" i="3" s="1"/>
  <c r="F10" i="3"/>
  <c r="G10" i="3" s="1"/>
  <c r="H10" i="3" s="1"/>
  <c r="I10" i="3" s="1"/>
  <c r="J10" i="3" s="1"/>
  <c r="F14" i="3"/>
  <c r="G14" i="3" s="1"/>
  <c r="H14" i="3" s="1"/>
  <c r="I14" i="3" s="1"/>
  <c r="J14" i="3" s="1"/>
  <c r="F15" i="3"/>
  <c r="G15" i="3" s="1"/>
  <c r="H15" i="3" s="1"/>
  <c r="I15" i="3" s="1"/>
  <c r="J15" i="3" s="1"/>
  <c r="F16" i="3"/>
  <c r="G16" i="3" s="1"/>
  <c r="H16" i="3" s="1"/>
  <c r="I16" i="3" s="1"/>
  <c r="J16" i="3" s="1"/>
  <c r="F17" i="3"/>
  <c r="G17" i="3" s="1"/>
  <c r="H17" i="3" s="1"/>
  <c r="I17" i="3" s="1"/>
  <c r="J17" i="3" s="1"/>
  <c r="C3" i="1"/>
  <c r="F3" i="3"/>
  <c r="F4" i="3"/>
  <c r="G4" i="3" s="1"/>
  <c r="H4" i="3" s="1"/>
  <c r="I4" i="3" s="1"/>
  <c r="J4" i="3" s="1"/>
  <c r="B4" i="1"/>
  <c r="B3" i="3"/>
  <c r="C91" i="8"/>
  <c r="G71" i="8"/>
  <c r="G3" i="3" l="1"/>
  <c r="H71" i="8"/>
  <c r="G74" i="8"/>
  <c r="H165" i="8"/>
  <c r="K181" i="8"/>
  <c r="J150" i="8"/>
  <c r="K119" i="8"/>
  <c r="I106" i="8"/>
  <c r="H157" i="8"/>
  <c r="H158" i="8"/>
  <c r="G129" i="8"/>
  <c r="F6" i="3"/>
  <c r="O6" i="3"/>
  <c r="I166" i="8"/>
  <c r="I189" i="8" s="1"/>
  <c r="H188" i="8"/>
  <c r="H163" i="8"/>
  <c r="I104" i="8"/>
  <c r="I127" i="8" s="1"/>
  <c r="H126" i="8"/>
  <c r="K7" i="1"/>
  <c r="J7" i="1"/>
  <c r="K15" i="3"/>
  <c r="K15" i="1" s="1"/>
  <c r="J15" i="1"/>
  <c r="K17" i="3"/>
  <c r="K17" i="1" s="1"/>
  <c r="J17" i="1"/>
  <c r="K4" i="3"/>
  <c r="K4" i="1" s="1"/>
  <c r="J4" i="1"/>
  <c r="K14" i="3"/>
  <c r="K14" i="1" s="1"/>
  <c r="J14" i="1"/>
  <c r="K10" i="3"/>
  <c r="K10" i="1" s="1"/>
  <c r="J10" i="1"/>
  <c r="K8" i="3"/>
  <c r="K8" i="1" s="1"/>
  <c r="J8" i="1"/>
  <c r="K16" i="3"/>
  <c r="K16" i="1" s="1"/>
  <c r="J16" i="1"/>
  <c r="K9" i="3"/>
  <c r="K9" i="1" s="1"/>
  <c r="J9" i="1"/>
  <c r="J121" i="8"/>
  <c r="J183" i="8"/>
  <c r="K120" i="8"/>
  <c r="H164" i="8"/>
  <c r="J151" i="8"/>
  <c r="I105" i="8"/>
  <c r="I107" i="8"/>
  <c r="I169" i="8"/>
  <c r="I168" i="8"/>
  <c r="I167" i="8"/>
  <c r="K182" i="8"/>
  <c r="I152" i="8"/>
  <c r="H136" i="8"/>
  <c r="G139" i="8"/>
  <c r="G132" i="8"/>
  <c r="H138" i="8"/>
  <c r="H134" i="8" s="1"/>
  <c r="I137" i="8"/>
  <c r="I135" i="8"/>
  <c r="H133" i="8"/>
  <c r="H170" i="8"/>
  <c r="E181" i="8"/>
  <c r="E183" i="8" s="1"/>
  <c r="D181" i="8"/>
  <c r="D183" i="8" s="1"/>
  <c r="C181" i="8"/>
  <c r="C183" i="8" s="1"/>
  <c r="C185" i="8"/>
  <c r="C187" i="8" s="1"/>
  <c r="C190" i="8" s="1"/>
  <c r="D185" i="8"/>
  <c r="D187" i="8" s="1"/>
  <c r="D190" i="8" s="1"/>
  <c r="E185" i="8"/>
  <c r="E187" i="8" s="1"/>
  <c r="E190" i="8" s="1"/>
  <c r="F185" i="8"/>
  <c r="F187" i="8" s="1"/>
  <c r="F190" i="8" s="1"/>
  <c r="H187" i="8"/>
  <c r="I187" i="8"/>
  <c r="J187" i="8"/>
  <c r="K187" i="8"/>
  <c r="G187" i="8"/>
  <c r="G190" i="8" s="1"/>
  <c r="H3" i="3" l="1"/>
  <c r="H190" i="8"/>
  <c r="L181" i="8"/>
  <c r="I71" i="8"/>
  <c r="H74" i="8"/>
  <c r="K150" i="8"/>
  <c r="L119" i="8"/>
  <c r="J106" i="8"/>
  <c r="K106" i="8" s="1"/>
  <c r="I157" i="8"/>
  <c r="I158" i="8"/>
  <c r="G191" i="8"/>
  <c r="G6" i="3"/>
  <c r="H6" i="3" s="1"/>
  <c r="I6" i="3" s="1"/>
  <c r="J6" i="3" s="1"/>
  <c r="P6" i="3"/>
  <c r="I164" i="8"/>
  <c r="L120" i="8"/>
  <c r="I165" i="8"/>
  <c r="I163" i="8"/>
  <c r="J104" i="8"/>
  <c r="J127" i="8" s="1"/>
  <c r="I126" i="8"/>
  <c r="J166" i="8"/>
  <c r="I188" i="8"/>
  <c r="I190" i="8" s="1"/>
  <c r="C191" i="8"/>
  <c r="D140" i="2" s="1"/>
  <c r="K183" i="8"/>
  <c r="K151" i="8"/>
  <c r="H132" i="8"/>
  <c r="I170" i="8"/>
  <c r="J167" i="8"/>
  <c r="K167" i="8" s="1"/>
  <c r="L167" i="8" s="1"/>
  <c r="L182" i="8"/>
  <c r="J169" i="8"/>
  <c r="J168" i="8"/>
  <c r="K121" i="8"/>
  <c r="J105" i="8"/>
  <c r="J107" i="8"/>
  <c r="L106" i="8"/>
  <c r="I136" i="8"/>
  <c r="H139" i="8"/>
  <c r="J137" i="8"/>
  <c r="J135" i="8"/>
  <c r="I133" i="8"/>
  <c r="J152" i="8"/>
  <c r="I138" i="8"/>
  <c r="I134" i="8" s="1"/>
  <c r="C156" i="8"/>
  <c r="C159" i="8" s="1"/>
  <c r="I3" i="3" l="1"/>
  <c r="J71" i="8"/>
  <c r="I74" i="8"/>
  <c r="L150" i="8"/>
  <c r="J163" i="8"/>
  <c r="J189" i="8"/>
  <c r="J157" i="8"/>
  <c r="J158" i="8"/>
  <c r="K6" i="3"/>
  <c r="K6" i="1" s="1"/>
  <c r="J6" i="1"/>
  <c r="C160" i="8"/>
  <c r="D139" i="2" s="1"/>
  <c r="J164" i="8"/>
  <c r="J165" i="8"/>
  <c r="K104" i="8"/>
  <c r="K127" i="8" s="1"/>
  <c r="J126" i="8"/>
  <c r="K166" i="8"/>
  <c r="K189" i="8" s="1"/>
  <c r="J188" i="8"/>
  <c r="J190" i="8" s="1"/>
  <c r="J138" i="8"/>
  <c r="J134" i="8" s="1"/>
  <c r="L151" i="8"/>
  <c r="L183" i="8"/>
  <c r="K105" i="8"/>
  <c r="K107" i="8"/>
  <c r="I132" i="8"/>
  <c r="K168" i="8"/>
  <c r="K169" i="8"/>
  <c r="K165" i="8" s="1"/>
  <c r="L121" i="8"/>
  <c r="K137" i="8"/>
  <c r="J136" i="8"/>
  <c r="I139" i="8"/>
  <c r="K152" i="8"/>
  <c r="K135" i="8"/>
  <c r="J133" i="8"/>
  <c r="J170" i="8"/>
  <c r="L187" i="8"/>
  <c r="J3" i="3" l="1"/>
  <c r="K163" i="8"/>
  <c r="K71" i="8"/>
  <c r="J74" i="8"/>
  <c r="K157" i="8"/>
  <c r="K158" i="8"/>
  <c r="L166" i="8"/>
  <c r="L189" i="8" s="1"/>
  <c r="K188" i="8"/>
  <c r="K190" i="8" s="1"/>
  <c r="L104" i="8"/>
  <c r="K126" i="8"/>
  <c r="K138" i="8"/>
  <c r="K134" i="8" s="1"/>
  <c r="L152" i="8"/>
  <c r="L168" i="8"/>
  <c r="L169" i="8"/>
  <c r="K164" i="8"/>
  <c r="L105" i="8"/>
  <c r="L107" i="8"/>
  <c r="L135" i="8"/>
  <c r="K133" i="8"/>
  <c r="K136" i="8"/>
  <c r="K132" i="8" s="1"/>
  <c r="J139" i="8"/>
  <c r="J132" i="8"/>
  <c r="L137" i="8"/>
  <c r="K170" i="8"/>
  <c r="D125" i="8"/>
  <c r="D128" i="8" s="1"/>
  <c r="J3" i="1" l="1"/>
  <c r="K3" i="3"/>
  <c r="K3" i="1" s="1"/>
  <c r="L71" i="8"/>
  <c r="L74" i="8" s="1"/>
  <c r="K74" i="8"/>
  <c r="L165" i="8"/>
  <c r="L157" i="8"/>
  <c r="L158" i="8"/>
  <c r="L126" i="8"/>
  <c r="L127" i="8"/>
  <c r="L164" i="8"/>
  <c r="D129" i="8"/>
  <c r="D191" i="8" s="1"/>
  <c r="E140" i="2" s="1"/>
  <c r="L188" i="8"/>
  <c r="L190" i="8" s="1"/>
  <c r="L163" i="8"/>
  <c r="L136" i="8"/>
  <c r="K139" i="8"/>
  <c r="L138" i="8"/>
  <c r="L134" i="8" s="1"/>
  <c r="L132" i="8"/>
  <c r="L133" i="8"/>
  <c r="L170" i="8"/>
  <c r="D156" i="8"/>
  <c r="D159" i="8" s="1"/>
  <c r="D138" i="2"/>
  <c r="E125" i="8"/>
  <c r="E128" i="8" s="1"/>
  <c r="E129" i="8" l="1"/>
  <c r="E191" i="8" s="1"/>
  <c r="F140" i="2" s="1"/>
  <c r="D160" i="8"/>
  <c r="L139" i="8"/>
  <c r="E156" i="8"/>
  <c r="E159" i="8" s="1"/>
  <c r="F125" i="8"/>
  <c r="F128" i="8" s="1"/>
  <c r="H140" i="2"/>
  <c r="E160" i="8" l="1"/>
  <c r="F129" i="8"/>
  <c r="F191" i="8" s="1"/>
  <c r="G140" i="2" s="1"/>
  <c r="F156" i="8"/>
  <c r="F159" i="8" s="1"/>
  <c r="F160" i="8" l="1"/>
  <c r="G156" i="8"/>
  <c r="G159" i="8" s="1"/>
  <c r="G160" i="8" l="1"/>
  <c r="H156" i="8"/>
  <c r="H159" i="8" s="1"/>
  <c r="G77" i="8"/>
  <c r="G83" i="8"/>
  <c r="H77" i="8" l="1"/>
  <c r="G80" i="8"/>
  <c r="H83" i="8"/>
  <c r="G86" i="8"/>
  <c r="H160" i="8"/>
  <c r="I156" i="8"/>
  <c r="I159" i="8" s="1"/>
  <c r="H125" i="8"/>
  <c r="H128" i="8" s="1"/>
  <c r="I83" i="8" l="1"/>
  <c r="H86" i="8"/>
  <c r="I77" i="8"/>
  <c r="H80" i="8"/>
  <c r="H129" i="8"/>
  <c r="H191" i="8" s="1"/>
  <c r="I140" i="2" s="1"/>
  <c r="I160" i="8"/>
  <c r="I125" i="8"/>
  <c r="I128" i="8" s="1"/>
  <c r="J156" i="8"/>
  <c r="J159" i="8" s="1"/>
  <c r="J77" i="8" l="1"/>
  <c r="I80" i="8"/>
  <c r="J83" i="8"/>
  <c r="I86" i="8"/>
  <c r="J160" i="8"/>
  <c r="I129" i="8"/>
  <c r="I191" i="8" s="1"/>
  <c r="J140" i="2" s="1"/>
  <c r="K156" i="8"/>
  <c r="K159" i="8" s="1"/>
  <c r="J125" i="8"/>
  <c r="J128" i="8" s="1"/>
  <c r="K83" i="8" l="1"/>
  <c r="J86" i="8"/>
  <c r="K77" i="8"/>
  <c r="J80" i="8"/>
  <c r="K160" i="8"/>
  <c r="J129" i="8"/>
  <c r="J191" i="8" s="1"/>
  <c r="K140" i="2" s="1"/>
  <c r="L125" i="8"/>
  <c r="L128" i="8" s="1"/>
  <c r="K125" i="8"/>
  <c r="K128" i="8" s="1"/>
  <c r="L156" i="8"/>
  <c r="L159" i="8" s="1"/>
  <c r="L77" i="8" l="1"/>
  <c r="L80" i="8" s="1"/>
  <c r="K80" i="8"/>
  <c r="L83" i="8"/>
  <c r="L86" i="8" s="1"/>
  <c r="K86" i="8"/>
  <c r="L129" i="8"/>
  <c r="L191" i="8" s="1"/>
  <c r="M140" i="2" s="1"/>
  <c r="L160" i="8"/>
  <c r="K129" i="8"/>
  <c r="K191" i="8" s="1"/>
  <c r="L140" i="2" s="1"/>
  <c r="L75" i="8" l="1"/>
  <c r="M131" i="2" s="1"/>
  <c r="K75" i="8"/>
  <c r="L131" i="2" s="1"/>
  <c r="J75" i="8"/>
  <c r="K131" i="2" s="1"/>
  <c r="I75" i="8"/>
  <c r="J131" i="2" s="1"/>
  <c r="H75" i="8"/>
  <c r="I131" i="2" s="1"/>
  <c r="G75" i="8"/>
  <c r="H131" i="2" s="1"/>
  <c r="F75" i="8"/>
  <c r="G131" i="2" s="1"/>
  <c r="L87" i="8"/>
  <c r="M133" i="2" s="1"/>
  <c r="K87" i="8"/>
  <c r="L133" i="2" s="1"/>
  <c r="J87" i="8"/>
  <c r="K133" i="2" s="1"/>
  <c r="I87" i="8"/>
  <c r="J133" i="2" s="1"/>
  <c r="H87" i="8"/>
  <c r="I133" i="2" s="1"/>
  <c r="G87" i="8"/>
  <c r="H133" i="2" s="1"/>
  <c r="F87" i="8"/>
  <c r="G133" i="2" s="1"/>
  <c r="G81" i="8"/>
  <c r="H132" i="2" s="1"/>
  <c r="H81" i="8"/>
  <c r="I132" i="2" s="1"/>
  <c r="I81" i="8"/>
  <c r="J132" i="2" s="1"/>
  <c r="J81" i="8"/>
  <c r="K132" i="2" s="1"/>
  <c r="K81" i="8"/>
  <c r="L132" i="2" s="1"/>
  <c r="L81" i="8"/>
  <c r="M132" i="2" s="1"/>
  <c r="F81" i="8"/>
  <c r="G132" i="2" s="1"/>
  <c r="H222" i="8"/>
  <c r="F222" i="8"/>
  <c r="F223" i="8" s="1"/>
  <c r="E222" i="8"/>
  <c r="E223" i="8" s="1"/>
  <c r="D222" i="8"/>
  <c r="D223" i="8" s="1"/>
  <c r="C222" i="8"/>
  <c r="C223" i="8" s="1"/>
  <c r="G222" i="8"/>
  <c r="H210" i="8"/>
  <c r="F210" i="8"/>
  <c r="F211" i="8" s="1"/>
  <c r="E210" i="8"/>
  <c r="E211" i="8" s="1"/>
  <c r="D210" i="8"/>
  <c r="D211" i="8" s="1"/>
  <c r="C210" i="8"/>
  <c r="C211" i="8" s="1"/>
  <c r="G210" i="8"/>
  <c r="F200" i="8"/>
  <c r="F201" i="8" s="1"/>
  <c r="E200" i="8"/>
  <c r="E201" i="8" s="1"/>
  <c r="D200" i="8"/>
  <c r="D201" i="8" s="1"/>
  <c r="C200" i="8"/>
  <c r="C201" i="8" s="1"/>
  <c r="G200" i="8"/>
  <c r="E39" i="8"/>
  <c r="D39" i="8"/>
  <c r="C39" i="8"/>
  <c r="B39" i="8"/>
  <c r="B49" i="8"/>
  <c r="B55" i="8" s="1"/>
  <c r="B57" i="8" s="1"/>
  <c r="G134" i="2" l="1"/>
  <c r="B56" i="8"/>
  <c r="I210" i="8"/>
  <c r="J222" i="8"/>
  <c r="I222" i="8"/>
  <c r="E49" i="8"/>
  <c r="E55" i="8" s="1"/>
  <c r="E56" i="8" s="1"/>
  <c r="D49" i="8"/>
  <c r="D55" i="8" s="1"/>
  <c r="C49" i="8"/>
  <c r="C55" i="8" s="1"/>
  <c r="C27" i="8"/>
  <c r="D27" i="8"/>
  <c r="E27" i="8"/>
  <c r="B27" i="8"/>
  <c r="D56" i="8" l="1"/>
  <c r="D57" i="8"/>
  <c r="C56" i="8"/>
  <c r="C57" i="8"/>
  <c r="N96" i="2"/>
  <c r="E39" i="1" s="1"/>
  <c r="F39" i="1" s="1"/>
  <c r="N94" i="2"/>
  <c r="E37" i="1" s="1"/>
  <c r="H200" i="8"/>
  <c r="K222" i="8"/>
  <c r="L222" i="8"/>
  <c r="J210" i="8"/>
  <c r="Q18" i="2"/>
  <c r="F213" i="2"/>
  <c r="G213" i="2" s="1"/>
  <c r="H213" i="2" s="1"/>
  <c r="I213" i="2" s="1"/>
  <c r="J213" i="2" s="1"/>
  <c r="K213" i="2" s="1"/>
  <c r="L213" i="2" s="1"/>
  <c r="N23" i="1"/>
  <c r="M23" i="1"/>
  <c r="E35" i="3" l="1"/>
  <c r="E43" i="1"/>
  <c r="G39" i="1"/>
  <c r="I200" i="8"/>
  <c r="K210" i="8"/>
  <c r="L210" i="8"/>
  <c r="Q23" i="1"/>
  <c r="U23" i="1"/>
  <c r="R23" i="1"/>
  <c r="T23" i="1"/>
  <c r="P23" i="1"/>
  <c r="O23" i="1"/>
  <c r="S23" i="1"/>
  <c r="H39" i="1" l="1"/>
  <c r="J200" i="8"/>
  <c r="I39" i="1" l="1"/>
  <c r="K200" i="8"/>
  <c r="L200" i="8"/>
  <c r="F46" i="3"/>
  <c r="G46" i="3" s="1"/>
  <c r="F44" i="3"/>
  <c r="J39" i="1" l="1"/>
  <c r="H46" i="3"/>
  <c r="F45" i="3"/>
  <c r="D158" i="2"/>
  <c r="D159" i="2" s="1"/>
  <c r="E169" i="2"/>
  <c r="F169" i="2"/>
  <c r="G169" i="2"/>
  <c r="N105" i="2" s="1"/>
  <c r="E48" i="1" s="1"/>
  <c r="H169" i="2"/>
  <c r="I169" i="2"/>
  <c r="J169" i="2"/>
  <c r="K169" i="2"/>
  <c r="D169" i="2"/>
  <c r="I158" i="2"/>
  <c r="H158" i="2"/>
  <c r="G158" i="2"/>
  <c r="G159" i="2" s="1"/>
  <c r="F158" i="2"/>
  <c r="F159" i="2" s="1"/>
  <c r="E158" i="2"/>
  <c r="E159" i="2" s="1"/>
  <c r="E149" i="2"/>
  <c r="F149" i="2"/>
  <c r="G149" i="2"/>
  <c r="H149" i="2"/>
  <c r="I149" i="2"/>
  <c r="D149" i="2"/>
  <c r="K39" i="1" l="1"/>
  <c r="G105" i="2"/>
  <c r="G45" i="3"/>
  <c r="I46" i="3"/>
  <c r="G44" i="3"/>
  <c r="D111" i="2"/>
  <c r="D118" i="2"/>
  <c r="D120" i="2"/>
  <c r="D119" i="2"/>
  <c r="H44" i="3" l="1"/>
  <c r="J149" i="2"/>
  <c r="J46" i="3"/>
  <c r="L169" i="2"/>
  <c r="H45" i="3"/>
  <c r="J158" i="2"/>
  <c r="K46" i="3" l="1"/>
  <c r="M169" i="2"/>
  <c r="I45" i="3"/>
  <c r="K158" i="2"/>
  <c r="I44" i="3"/>
  <c r="K149" i="2"/>
  <c r="E150" i="2" l="1"/>
  <c r="C44" i="3"/>
  <c r="J44" i="3"/>
  <c r="L149" i="2"/>
  <c r="J45" i="3"/>
  <c r="L158" i="2"/>
  <c r="K45" i="3" l="1"/>
  <c r="M158" i="2"/>
  <c r="K44" i="3"/>
  <c r="M149" i="2"/>
  <c r="M47" i="3"/>
  <c r="M48" i="3"/>
  <c r="M50" i="1"/>
  <c r="M49" i="1"/>
  <c r="M24" i="1"/>
  <c r="F13" i="3" l="1"/>
  <c r="G13" i="3" s="1"/>
  <c r="H13" i="3" s="1"/>
  <c r="I13" i="3" s="1"/>
  <c r="J13" i="3" s="1"/>
  <c r="F21" i="3"/>
  <c r="G21" i="3" s="1"/>
  <c r="H21" i="3" s="1"/>
  <c r="I21" i="3" s="1"/>
  <c r="J21" i="3" s="1"/>
  <c r="J21" i="1" s="1"/>
  <c r="F18" i="3"/>
  <c r="G18" i="3" s="1"/>
  <c r="H18" i="3" s="1"/>
  <c r="I18" i="3" s="1"/>
  <c r="J18" i="3" s="1"/>
  <c r="F12" i="3"/>
  <c r="G12" i="3" s="1"/>
  <c r="H12" i="3" s="1"/>
  <c r="I12" i="3" s="1"/>
  <c r="J12" i="3" s="1"/>
  <c r="F11" i="3"/>
  <c r="G11" i="3" s="1"/>
  <c r="H11" i="3" s="1"/>
  <c r="I11" i="3" s="1"/>
  <c r="J11" i="3" s="1"/>
  <c r="D35" i="3"/>
  <c r="K11" i="3" l="1"/>
  <c r="K11" i="1" s="1"/>
  <c r="J11" i="1"/>
  <c r="K12" i="3"/>
  <c r="K12" i="1" s="1"/>
  <c r="J12" i="1"/>
  <c r="K18" i="3"/>
  <c r="K18" i="1" s="1"/>
  <c r="J18" i="1"/>
  <c r="K21" i="3"/>
  <c r="K21" i="1" s="1"/>
  <c r="K13" i="3"/>
  <c r="K13" i="1" s="1"/>
  <c r="J13" i="1"/>
  <c r="G170" i="2"/>
  <c r="G150" i="2"/>
  <c r="F150" i="2"/>
  <c r="D44" i="3"/>
  <c r="F170" i="2"/>
  <c r="D46" i="3"/>
  <c r="F85" i="2"/>
  <c r="D39" i="3"/>
  <c r="D170" i="2" l="1"/>
  <c r="B46" i="3"/>
  <c r="E170" i="2"/>
  <c r="C46" i="3"/>
  <c r="D150" i="2"/>
  <c r="B44" i="3"/>
  <c r="B39" i="3"/>
  <c r="B35" i="3"/>
  <c r="C39" i="3"/>
  <c r="C35" i="3"/>
  <c r="M21" i="1"/>
  <c r="L100" i="2"/>
  <c r="M100" i="2"/>
  <c r="M106" i="2" s="1"/>
  <c r="M107" i="2" s="1"/>
  <c r="D113" i="2"/>
  <c r="H134" i="2" l="1"/>
  <c r="I134" i="2"/>
  <c r="J134" i="2"/>
  <c r="K134" i="2"/>
  <c r="L134" i="2"/>
  <c r="M134" i="2"/>
  <c r="F38" i="1" l="1"/>
  <c r="G38" i="1" s="1"/>
  <c r="H38" i="1" s="1"/>
  <c r="I38" i="1" s="1"/>
  <c r="J38" i="1" s="1"/>
  <c r="K38" i="1" s="1"/>
  <c r="F37" i="1"/>
  <c r="M213" i="2"/>
  <c r="G37" i="1" l="1"/>
  <c r="F43" i="1"/>
  <c r="L61" i="2"/>
  <c r="I61" i="2"/>
  <c r="H61" i="2"/>
  <c r="G61" i="2"/>
  <c r="E61" i="2"/>
  <c r="H40" i="2" s="1"/>
  <c r="D61" i="2"/>
  <c r="C61" i="2"/>
  <c r="D21" i="1" l="1"/>
  <c r="N21" i="1" s="1"/>
  <c r="H37" i="1"/>
  <c r="G43" i="1"/>
  <c r="I40" i="2"/>
  <c r="E21" i="1" s="1"/>
  <c r="J40" i="2"/>
  <c r="F21" i="1" s="1"/>
  <c r="K61" i="2"/>
  <c r="I37" i="1" l="1"/>
  <c r="H43" i="1"/>
  <c r="O21" i="1"/>
  <c r="P21" i="1"/>
  <c r="K40" i="2"/>
  <c r="G21" i="1" s="1"/>
  <c r="Q21" i="1" s="1"/>
  <c r="L40" i="2"/>
  <c r="H21" i="1" s="1"/>
  <c r="M40" i="2"/>
  <c r="I21" i="1" s="1"/>
  <c r="J37" i="1" l="1"/>
  <c r="I43" i="1"/>
  <c r="R21" i="1"/>
  <c r="S21" i="1"/>
  <c r="K37" i="1" l="1"/>
  <c r="K43" i="1" s="1"/>
  <c r="J43" i="1"/>
  <c r="C53" i="2" l="1"/>
  <c r="D53" i="2"/>
  <c r="E53" i="2"/>
  <c r="H32" i="2" s="1"/>
  <c r="D12" i="1" s="1"/>
  <c r="G53" i="2"/>
  <c r="H53" i="2"/>
  <c r="I53" i="2"/>
  <c r="I32" i="2" s="1"/>
  <c r="K53" i="2"/>
  <c r="M12" i="3" l="1"/>
  <c r="L53" i="2"/>
  <c r="J32" i="2" l="1"/>
  <c r="M12" i="1"/>
  <c r="M32" i="2" l="1"/>
  <c r="K32" i="2"/>
  <c r="L32" i="2"/>
  <c r="N12" i="1" l="1"/>
  <c r="N12" i="3"/>
  <c r="E12" i="1" l="1"/>
  <c r="O12" i="1" s="1"/>
  <c r="O12" i="3"/>
  <c r="E106" i="2"/>
  <c r="F12" i="1" l="1"/>
  <c r="P12" i="1" s="1"/>
  <c r="C106" i="2"/>
  <c r="P12" i="3"/>
  <c r="L106" i="2"/>
  <c r="K100" i="2"/>
  <c r="K106" i="2" s="1"/>
  <c r="J100" i="2"/>
  <c r="J106" i="2" s="1"/>
  <c r="G12" i="1" l="1"/>
  <c r="Q12" i="1" s="1"/>
  <c r="Q12" i="3"/>
  <c r="L107" i="2"/>
  <c r="H12" i="1" l="1"/>
  <c r="R12" i="1" s="1"/>
  <c r="R12" i="3"/>
  <c r="D106" i="2"/>
  <c r="C85" i="2"/>
  <c r="C52" i="2"/>
  <c r="D52" i="2"/>
  <c r="E52" i="2"/>
  <c r="H31" i="2" s="1"/>
  <c r="D11" i="1" s="1"/>
  <c r="G52" i="2"/>
  <c r="H52" i="2"/>
  <c r="I52" i="2"/>
  <c r="B22" i="1" l="1"/>
  <c r="I12" i="1"/>
  <c r="S12" i="1" s="1"/>
  <c r="S12" i="3"/>
  <c r="E85" i="2"/>
  <c r="E22" i="3" s="1"/>
  <c r="F22" i="3" s="1"/>
  <c r="I31" i="2"/>
  <c r="E11" i="1" s="1"/>
  <c r="J107" i="2"/>
  <c r="K107" i="2"/>
  <c r="D85" i="2"/>
  <c r="L52" i="2"/>
  <c r="K52" i="2"/>
  <c r="M22" i="3" l="1"/>
  <c r="G22" i="3"/>
  <c r="P22" i="3"/>
  <c r="O22" i="3"/>
  <c r="C22" i="1"/>
  <c r="M22" i="1" s="1"/>
  <c r="N22" i="3"/>
  <c r="T12" i="3"/>
  <c r="U12" i="3"/>
  <c r="J31" i="2"/>
  <c r="M11" i="1"/>
  <c r="M11" i="3"/>
  <c r="H22" i="3" l="1"/>
  <c r="Q22" i="3"/>
  <c r="K31" i="2"/>
  <c r="G11" i="1" s="1"/>
  <c r="L31" i="2"/>
  <c r="H11" i="1" s="1"/>
  <c r="M31" i="2"/>
  <c r="I11" i="1" s="1"/>
  <c r="F11" i="1"/>
  <c r="O11" i="3"/>
  <c r="N11" i="1"/>
  <c r="N11" i="3"/>
  <c r="I22" i="3" l="1"/>
  <c r="R22" i="3"/>
  <c r="P11" i="3"/>
  <c r="O11" i="1"/>
  <c r="J22" i="3" l="1"/>
  <c r="S22" i="3"/>
  <c r="B23" i="3"/>
  <c r="Q11" i="3"/>
  <c r="K22" i="3" l="1"/>
  <c r="J22" i="1"/>
  <c r="T22" i="3"/>
  <c r="R11" i="3"/>
  <c r="K22" i="1" l="1"/>
  <c r="U22" i="3"/>
  <c r="S11" i="3"/>
  <c r="U11" i="3" l="1"/>
  <c r="T11" i="3" l="1"/>
  <c r="N2" i="3" l="1"/>
  <c r="O2" i="3" s="1"/>
  <c r="P2" i="3" s="1"/>
  <c r="Q2" i="3" s="1"/>
  <c r="R2" i="3" s="1"/>
  <c r="S2" i="3" s="1"/>
  <c r="T2" i="3" s="1"/>
  <c r="T20" i="1" s="1"/>
  <c r="M13" i="3"/>
  <c r="D215" i="2"/>
  <c r="E215" i="2" s="1"/>
  <c r="I62" i="2"/>
  <c r="H62" i="2"/>
  <c r="G62" i="2"/>
  <c r="E62" i="2"/>
  <c r="H41" i="2" s="1"/>
  <c r="D22" i="1" s="1"/>
  <c r="D62" i="2"/>
  <c r="C62" i="2"/>
  <c r="I59" i="2"/>
  <c r="H59" i="2"/>
  <c r="G59" i="2"/>
  <c r="E59" i="2"/>
  <c r="H38" i="2" s="1"/>
  <c r="D18" i="1" s="1"/>
  <c r="D59" i="2"/>
  <c r="C59" i="2"/>
  <c r="I58" i="2"/>
  <c r="H58" i="2"/>
  <c r="G58" i="2"/>
  <c r="E58" i="2"/>
  <c r="H37" i="2" s="1"/>
  <c r="D17" i="1" s="1"/>
  <c r="D58" i="2"/>
  <c r="C58" i="2"/>
  <c r="I57" i="2"/>
  <c r="H57" i="2"/>
  <c r="G57" i="2"/>
  <c r="E57" i="2"/>
  <c r="H36" i="2" s="1"/>
  <c r="D16" i="1" s="1"/>
  <c r="D57" i="2"/>
  <c r="C57" i="2"/>
  <c r="I56" i="2"/>
  <c r="H56" i="2"/>
  <c r="G56" i="2"/>
  <c r="E56" i="2"/>
  <c r="H35" i="2" s="1"/>
  <c r="D15" i="1" s="1"/>
  <c r="D56" i="2"/>
  <c r="C56" i="2"/>
  <c r="I55" i="2"/>
  <c r="H55" i="2"/>
  <c r="G55" i="2"/>
  <c r="E55" i="2"/>
  <c r="H34" i="2" s="1"/>
  <c r="D14" i="1" s="1"/>
  <c r="D55" i="2"/>
  <c r="C55" i="2"/>
  <c r="I54" i="2"/>
  <c r="H54" i="2"/>
  <c r="G54" i="2"/>
  <c r="E54" i="2"/>
  <c r="H33" i="2" s="1"/>
  <c r="D13" i="1" s="1"/>
  <c r="D54" i="2"/>
  <c r="C54" i="2"/>
  <c r="I51" i="2"/>
  <c r="H51" i="2"/>
  <c r="G51" i="2"/>
  <c r="E51" i="2"/>
  <c r="H30" i="2" s="1"/>
  <c r="D10" i="1" s="1"/>
  <c r="D51" i="2"/>
  <c r="C51" i="2"/>
  <c r="I50" i="2"/>
  <c r="I29" i="2" s="1"/>
  <c r="H50" i="2"/>
  <c r="G50" i="2"/>
  <c r="E50" i="2"/>
  <c r="H29" i="2" s="1"/>
  <c r="D9" i="1" s="1"/>
  <c r="D50" i="2"/>
  <c r="C50" i="2"/>
  <c r="I49" i="2"/>
  <c r="H49" i="2"/>
  <c r="G49" i="2"/>
  <c r="E49" i="2"/>
  <c r="H28" i="2" s="1"/>
  <c r="D8" i="1" s="1"/>
  <c r="D49" i="2"/>
  <c r="C49" i="2"/>
  <c r="I48" i="2"/>
  <c r="I27" i="2" s="1"/>
  <c r="E5" i="1" s="1"/>
  <c r="H48" i="2"/>
  <c r="G48" i="2"/>
  <c r="E48" i="2"/>
  <c r="H27" i="2" s="1"/>
  <c r="D48" i="2"/>
  <c r="C48" i="2"/>
  <c r="E47" i="2"/>
  <c r="H26" i="2" s="1"/>
  <c r="D47" i="2"/>
  <c r="C47" i="2"/>
  <c r="I46" i="2"/>
  <c r="H46" i="2"/>
  <c r="G46" i="2"/>
  <c r="E46" i="2"/>
  <c r="H25" i="2" s="1"/>
  <c r="D3" i="1" s="1"/>
  <c r="D46" i="2"/>
  <c r="C46" i="2"/>
  <c r="N2" i="1"/>
  <c r="O2" i="1" s="1"/>
  <c r="P2" i="1" s="1"/>
  <c r="Q2" i="1" s="1"/>
  <c r="R2" i="1" s="1"/>
  <c r="S2" i="1" s="1"/>
  <c r="T2" i="1" s="1"/>
  <c r="U2" i="1" s="1"/>
  <c r="D7" i="1" l="1"/>
  <c r="D5" i="1"/>
  <c r="D4" i="1"/>
  <c r="D6" i="1"/>
  <c r="D50" i="1"/>
  <c r="D49" i="1"/>
  <c r="E7" i="1"/>
  <c r="D48" i="3"/>
  <c r="D47" i="3"/>
  <c r="E227" i="2"/>
  <c r="N22" i="1"/>
  <c r="U2" i="3"/>
  <c r="U20" i="1" s="1"/>
  <c r="T22" i="1"/>
  <c r="T12" i="1"/>
  <c r="T11" i="1"/>
  <c r="I26" i="2"/>
  <c r="I35" i="2"/>
  <c r="I41" i="2"/>
  <c r="I38" i="2"/>
  <c r="I33" i="2"/>
  <c r="E13" i="1" s="1"/>
  <c r="I37" i="2"/>
  <c r="E17" i="1" s="1"/>
  <c r="I34" i="2"/>
  <c r="E14" i="1" s="1"/>
  <c r="I28" i="2"/>
  <c r="E8" i="1" s="1"/>
  <c r="F215" i="2"/>
  <c r="I25" i="2"/>
  <c r="E3" i="1" s="1"/>
  <c r="E9" i="1"/>
  <c r="I30" i="2"/>
  <c r="E10" i="1" s="1"/>
  <c r="I36" i="2"/>
  <c r="E16" i="1" s="1"/>
  <c r="K54" i="2"/>
  <c r="K50" i="2"/>
  <c r="K46" i="2"/>
  <c r="K56" i="2"/>
  <c r="K48" i="2"/>
  <c r="K58" i="2"/>
  <c r="B29" i="1"/>
  <c r="B28" i="1"/>
  <c r="B34" i="1"/>
  <c r="B33" i="1"/>
  <c r="B30" i="1"/>
  <c r="B32" i="1"/>
  <c r="B31" i="1"/>
  <c r="M10" i="3"/>
  <c r="J29" i="6"/>
  <c r="M8" i="3"/>
  <c r="M14" i="3"/>
  <c r="M18" i="3"/>
  <c r="M7" i="3"/>
  <c r="M16" i="3"/>
  <c r="M21" i="3"/>
  <c r="N15" i="3"/>
  <c r="M17" i="3"/>
  <c r="M6" i="3"/>
  <c r="M15" i="3"/>
  <c r="K55" i="2"/>
  <c r="L48" i="2"/>
  <c r="L46" i="2"/>
  <c r="J25" i="2" s="1"/>
  <c r="F3" i="1" s="1"/>
  <c r="K49" i="2"/>
  <c r="L50" i="2"/>
  <c r="L54" i="2"/>
  <c r="J33" i="2" s="1"/>
  <c r="L56" i="2"/>
  <c r="L58" i="2"/>
  <c r="K59" i="2"/>
  <c r="L49" i="2"/>
  <c r="J28" i="2" s="1"/>
  <c r="L55" i="2"/>
  <c r="L59" i="2"/>
  <c r="K51" i="2"/>
  <c r="L51" i="2"/>
  <c r="L57" i="2"/>
  <c r="L62" i="2"/>
  <c r="J41" i="2" s="1"/>
  <c r="K57" i="2"/>
  <c r="K62" i="2"/>
  <c r="D51" i="1" l="1"/>
  <c r="D52" i="1" s="1"/>
  <c r="E217" i="2" s="1"/>
  <c r="N5" i="1"/>
  <c r="O5" i="1"/>
  <c r="E47" i="3"/>
  <c r="E49" i="1"/>
  <c r="E50" i="1"/>
  <c r="F22" i="1"/>
  <c r="M41" i="2"/>
  <c r="I22" i="1" s="1"/>
  <c r="K41" i="2"/>
  <c r="G22" i="1" s="1"/>
  <c r="L41" i="2"/>
  <c r="H22" i="1" s="1"/>
  <c r="F8" i="1"/>
  <c r="K28" i="2"/>
  <c r="G8" i="1" s="1"/>
  <c r="L28" i="2"/>
  <c r="H8" i="1" s="1"/>
  <c r="M28" i="2"/>
  <c r="I8" i="1" s="1"/>
  <c r="M25" i="2"/>
  <c r="I3" i="1" s="1"/>
  <c r="L25" i="2"/>
  <c r="H3" i="1" s="1"/>
  <c r="K25" i="2"/>
  <c r="G3" i="1" s="1"/>
  <c r="E18" i="1"/>
  <c r="O18" i="1" s="1"/>
  <c r="F13" i="1"/>
  <c r="K33" i="2"/>
  <c r="L33" i="2"/>
  <c r="H13" i="1" s="1"/>
  <c r="M33" i="2"/>
  <c r="I13" i="1" s="1"/>
  <c r="I9" i="1"/>
  <c r="E48" i="3"/>
  <c r="N50" i="1"/>
  <c r="J38" i="2"/>
  <c r="N49" i="1"/>
  <c r="N48" i="3"/>
  <c r="N47" i="3"/>
  <c r="E22" i="1"/>
  <c r="O22" i="1" s="1"/>
  <c r="U22" i="1"/>
  <c r="U12" i="1"/>
  <c r="U11" i="1"/>
  <c r="E4" i="1"/>
  <c r="E6" i="1"/>
  <c r="E15" i="1"/>
  <c r="O15" i="1" s="1"/>
  <c r="G215" i="2"/>
  <c r="J36" i="2"/>
  <c r="J26" i="2"/>
  <c r="J30" i="2"/>
  <c r="J27" i="2"/>
  <c r="F5" i="1" s="1"/>
  <c r="P5" i="1" s="1"/>
  <c r="F9" i="1"/>
  <c r="P11" i="1"/>
  <c r="J35" i="2"/>
  <c r="J34" i="2"/>
  <c r="J37" i="2"/>
  <c r="O26" i="6"/>
  <c r="M26" i="6"/>
  <c r="I26" i="6"/>
  <c r="E26" i="6"/>
  <c r="D26" i="6"/>
  <c r="M3" i="3"/>
  <c r="M4" i="3"/>
  <c r="N4" i="3"/>
  <c r="O10" i="3"/>
  <c r="N13" i="3"/>
  <c r="N10" i="3"/>
  <c r="O15" i="3"/>
  <c r="N8" i="3"/>
  <c r="M9" i="3"/>
  <c r="N21" i="3"/>
  <c r="O17" i="1"/>
  <c r="N17" i="3"/>
  <c r="O16" i="1"/>
  <c r="N16" i="3"/>
  <c r="N18" i="3"/>
  <c r="O7" i="1"/>
  <c r="N7" i="3"/>
  <c r="N6" i="3"/>
  <c r="N3" i="3"/>
  <c r="O14" i="1"/>
  <c r="N14" i="3"/>
  <c r="S55" i="11" l="1"/>
  <c r="S55" i="12"/>
  <c r="S55" i="9"/>
  <c r="S55" i="10"/>
  <c r="E51" i="1"/>
  <c r="E52" i="1" s="1"/>
  <c r="F217" i="2" s="1"/>
  <c r="F49" i="1"/>
  <c r="F50" i="1"/>
  <c r="F47" i="3"/>
  <c r="K36" i="2"/>
  <c r="G16" i="1" s="1"/>
  <c r="L36" i="2"/>
  <c r="H16" i="1" s="1"/>
  <c r="M36" i="2"/>
  <c r="I16" i="1" s="1"/>
  <c r="K37" i="2"/>
  <c r="G17" i="1" s="1"/>
  <c r="M37" i="2"/>
  <c r="I17" i="1" s="1"/>
  <c r="L37" i="2"/>
  <c r="H17" i="1" s="1"/>
  <c r="L27" i="2"/>
  <c r="H5" i="1" s="1"/>
  <c r="M27" i="2"/>
  <c r="K27" i="2"/>
  <c r="G5" i="1" s="1"/>
  <c r="Q5" i="1" s="1"/>
  <c r="L35" i="2"/>
  <c r="H15" i="1" s="1"/>
  <c r="M35" i="2"/>
  <c r="I15" i="1" s="1"/>
  <c r="K35" i="2"/>
  <c r="G15" i="1" s="1"/>
  <c r="K30" i="2"/>
  <c r="G10" i="1" s="1"/>
  <c r="L30" i="2"/>
  <c r="H10" i="1" s="1"/>
  <c r="M30" i="2"/>
  <c r="I10" i="1" s="1"/>
  <c r="F18" i="1"/>
  <c r="P18" i="1" s="1"/>
  <c r="K38" i="2"/>
  <c r="G18" i="1" s="1"/>
  <c r="L38" i="2"/>
  <c r="H18" i="1" s="1"/>
  <c r="M38" i="2"/>
  <c r="K34" i="2"/>
  <c r="G14" i="1" s="1"/>
  <c r="L34" i="2"/>
  <c r="H14" i="1" s="1"/>
  <c r="M34" i="2"/>
  <c r="I14" i="1" s="1"/>
  <c r="K26" i="2"/>
  <c r="L26" i="2"/>
  <c r="M26" i="2"/>
  <c r="O50" i="1"/>
  <c r="F48" i="3"/>
  <c r="O49" i="1"/>
  <c r="O47" i="3"/>
  <c r="O48" i="3"/>
  <c r="P22" i="1"/>
  <c r="F6" i="1"/>
  <c r="F4" i="1"/>
  <c r="P4" i="1" s="1"/>
  <c r="F7" i="1"/>
  <c r="P7" i="1" s="1"/>
  <c r="H9" i="1"/>
  <c r="F10" i="1"/>
  <c r="Q11" i="1"/>
  <c r="G13" i="1"/>
  <c r="F14" i="1"/>
  <c r="P14" i="1" s="1"/>
  <c r="F15" i="1"/>
  <c r="P15" i="1" s="1"/>
  <c r="F16" i="1"/>
  <c r="P16" i="1" s="1"/>
  <c r="F17" i="1"/>
  <c r="P17" i="1" s="1"/>
  <c r="Y28" i="6"/>
  <c r="Q22" i="1"/>
  <c r="H215" i="2"/>
  <c r="G9" i="1"/>
  <c r="R22" i="1"/>
  <c r="S22" i="1"/>
  <c r="O8" i="1"/>
  <c r="V29" i="6"/>
  <c r="O3" i="1"/>
  <c r="Q26" i="6"/>
  <c r="P26" i="6"/>
  <c r="U26" i="6"/>
  <c r="AA26" i="6"/>
  <c r="Y26" i="6"/>
  <c r="R11" i="1"/>
  <c r="S11" i="1"/>
  <c r="O4" i="1"/>
  <c r="O6" i="1"/>
  <c r="O4" i="3"/>
  <c r="P13" i="1"/>
  <c r="O13" i="3"/>
  <c r="O13" i="1"/>
  <c r="O10" i="1"/>
  <c r="O16" i="3"/>
  <c r="O17" i="3"/>
  <c r="P15" i="3"/>
  <c r="O3" i="3"/>
  <c r="O18" i="3"/>
  <c r="O7" i="3"/>
  <c r="O21" i="3"/>
  <c r="O8" i="3"/>
  <c r="O14" i="3"/>
  <c r="O9" i="1"/>
  <c r="N9" i="3"/>
  <c r="T55" i="11" l="1"/>
  <c r="T55" i="12"/>
  <c r="T55" i="9"/>
  <c r="T55" i="10"/>
  <c r="F51" i="1"/>
  <c r="F52" i="1" s="1"/>
  <c r="G217" i="2" s="1"/>
  <c r="F226" i="2"/>
  <c r="I7" i="1"/>
  <c r="I5" i="1"/>
  <c r="S5" i="1" s="1"/>
  <c r="R5" i="1"/>
  <c r="G50" i="1"/>
  <c r="G47" i="3"/>
  <c r="G49" i="1"/>
  <c r="I18" i="1"/>
  <c r="I6" i="1"/>
  <c r="I4" i="1"/>
  <c r="P50" i="1"/>
  <c r="G48" i="3"/>
  <c r="AL28" i="6"/>
  <c r="P48" i="3"/>
  <c r="H227" i="2"/>
  <c r="P47" i="3"/>
  <c r="P49" i="1"/>
  <c r="H6" i="1"/>
  <c r="H4" i="1"/>
  <c r="G4" i="1"/>
  <c r="Q4" i="1" s="1"/>
  <c r="G6" i="1"/>
  <c r="Q6" i="1" s="1"/>
  <c r="G7" i="1"/>
  <c r="Q7" i="1" s="1"/>
  <c r="H7" i="1"/>
  <c r="Q24" i="1"/>
  <c r="AH28" i="6"/>
  <c r="AJ28" i="6"/>
  <c r="AA28" i="6"/>
  <c r="AI28" i="6"/>
  <c r="AG28" i="6"/>
  <c r="AF28" i="6"/>
  <c r="Z28" i="6"/>
  <c r="AD28" i="6"/>
  <c r="I215" i="2"/>
  <c r="Q15" i="1"/>
  <c r="P8" i="1"/>
  <c r="AH29" i="6"/>
  <c r="P3" i="1"/>
  <c r="AM26" i="6"/>
  <c r="AK26" i="6"/>
  <c r="AG26" i="6"/>
  <c r="AC26" i="6"/>
  <c r="AB26" i="6"/>
  <c r="P4" i="3"/>
  <c r="P13" i="3"/>
  <c r="Q13" i="1"/>
  <c r="P6" i="1"/>
  <c r="P10" i="1"/>
  <c r="P10" i="3"/>
  <c r="P21" i="3"/>
  <c r="Q18" i="1"/>
  <c r="P18" i="3"/>
  <c r="Q17" i="1"/>
  <c r="P17" i="3"/>
  <c r="P9" i="1"/>
  <c r="O9" i="3"/>
  <c r="Q15" i="3"/>
  <c r="Q3" i="1"/>
  <c r="P3" i="3"/>
  <c r="Q16" i="1"/>
  <c r="P16" i="3"/>
  <c r="Q14" i="1"/>
  <c r="P14" i="3"/>
  <c r="Q8" i="1"/>
  <c r="P8" i="3"/>
  <c r="P7" i="3"/>
  <c r="U55" i="11" l="1"/>
  <c r="U55" i="12"/>
  <c r="U55" i="9"/>
  <c r="U55" i="10"/>
  <c r="G51" i="1"/>
  <c r="G52" i="1" s="1"/>
  <c r="H217" i="2" s="1"/>
  <c r="H50" i="1"/>
  <c r="H49" i="1"/>
  <c r="H47" i="3"/>
  <c r="AE28" i="6"/>
  <c r="AC28" i="6"/>
  <c r="AB28" i="6"/>
  <c r="H48" i="3"/>
  <c r="Q50" i="1"/>
  <c r="AM28" i="6"/>
  <c r="AK28" i="6"/>
  <c r="Q48" i="3"/>
  <c r="I227" i="2"/>
  <c r="Q49" i="1"/>
  <c r="Q47" i="3"/>
  <c r="J215" i="2"/>
  <c r="R24" i="1"/>
  <c r="R4" i="1"/>
  <c r="Q4" i="3"/>
  <c r="R13" i="1"/>
  <c r="Q13" i="3"/>
  <c r="R15" i="1"/>
  <c r="Q10" i="1"/>
  <c r="Q10" i="3"/>
  <c r="R7" i="1"/>
  <c r="Q7" i="3"/>
  <c r="Q14" i="3"/>
  <c r="R3" i="1"/>
  <c r="Q3" i="3"/>
  <c r="R17" i="1"/>
  <c r="Q17" i="3"/>
  <c r="S15" i="1"/>
  <c r="R15" i="3"/>
  <c r="R18" i="1"/>
  <c r="Q18" i="3"/>
  <c r="R8" i="1"/>
  <c r="Q8" i="3"/>
  <c r="R6" i="1"/>
  <c r="Q6" i="3"/>
  <c r="R16" i="1"/>
  <c r="Q16" i="3"/>
  <c r="Q9" i="1"/>
  <c r="P9" i="3"/>
  <c r="Q21" i="3"/>
  <c r="V55" i="11" l="1"/>
  <c r="V55" i="12"/>
  <c r="V55" i="9"/>
  <c r="V55" i="10"/>
  <c r="H51" i="1"/>
  <c r="H52" i="1" s="1"/>
  <c r="I217" i="2" s="1"/>
  <c r="I47" i="3"/>
  <c r="I50" i="1"/>
  <c r="I49" i="1"/>
  <c r="I48" i="3"/>
  <c r="R50" i="1"/>
  <c r="R47" i="3"/>
  <c r="R49" i="1"/>
  <c r="J227" i="2"/>
  <c r="R48" i="3"/>
  <c r="K215" i="2"/>
  <c r="S24" i="1"/>
  <c r="S4" i="1"/>
  <c r="R4" i="3"/>
  <c r="R13" i="3"/>
  <c r="S13" i="1"/>
  <c r="R10" i="3"/>
  <c r="R14" i="1"/>
  <c r="S18" i="1"/>
  <c r="R18" i="3"/>
  <c r="S6" i="1"/>
  <c r="R6" i="3"/>
  <c r="R21" i="3"/>
  <c r="S8" i="1"/>
  <c r="R8" i="3"/>
  <c r="S15" i="3"/>
  <c r="S17" i="1"/>
  <c r="R17" i="3"/>
  <c r="Q9" i="3"/>
  <c r="S16" i="1"/>
  <c r="R16" i="3"/>
  <c r="S3" i="1"/>
  <c r="R3" i="3"/>
  <c r="S14" i="1"/>
  <c r="R14" i="3"/>
  <c r="S7" i="1"/>
  <c r="R7" i="3"/>
  <c r="W55" i="11" l="1"/>
  <c r="W55" i="12"/>
  <c r="W55" i="9"/>
  <c r="W55" i="10"/>
  <c r="I51" i="1"/>
  <c r="I52" i="1" s="1"/>
  <c r="J217" i="2" s="1"/>
  <c r="J50" i="1"/>
  <c r="J49" i="1"/>
  <c r="J47" i="3"/>
  <c r="J48" i="3"/>
  <c r="S50" i="1"/>
  <c r="K227" i="2"/>
  <c r="S48" i="3"/>
  <c r="S49" i="1"/>
  <c r="S47" i="3"/>
  <c r="T24" i="1"/>
  <c r="L215" i="2"/>
  <c r="U4" i="3"/>
  <c r="U4" i="1" s="1"/>
  <c r="S4" i="3"/>
  <c r="S13" i="3"/>
  <c r="U13" i="3"/>
  <c r="U13" i="1" s="1"/>
  <c r="R9" i="1"/>
  <c r="S10" i="1"/>
  <c r="S10" i="3"/>
  <c r="R10" i="1"/>
  <c r="S9" i="1"/>
  <c r="R9" i="3"/>
  <c r="S17" i="3"/>
  <c r="S6" i="3"/>
  <c r="U15" i="3"/>
  <c r="U15" i="1" s="1"/>
  <c r="T15" i="3"/>
  <c r="T15" i="1" s="1"/>
  <c r="S7" i="3"/>
  <c r="S14" i="3"/>
  <c r="S8" i="3"/>
  <c r="S3" i="3"/>
  <c r="S16" i="3"/>
  <c r="S21" i="3"/>
  <c r="S18" i="3"/>
  <c r="X55" i="11" l="1"/>
  <c r="X55" i="12"/>
  <c r="X55" i="9"/>
  <c r="X55" i="10"/>
  <c r="J51" i="1"/>
  <c r="J52" i="1" s="1"/>
  <c r="K217" i="2" s="1"/>
  <c r="K47" i="3"/>
  <c r="K50" i="1"/>
  <c r="K49" i="1"/>
  <c r="K48" i="3"/>
  <c r="T50" i="1"/>
  <c r="T47" i="3"/>
  <c r="L227" i="2"/>
  <c r="T48" i="3"/>
  <c r="U24" i="1"/>
  <c r="T4" i="3"/>
  <c r="T4" i="1" s="1"/>
  <c r="T13" i="3"/>
  <c r="T13" i="1" s="1"/>
  <c r="T10" i="3"/>
  <c r="T10" i="1" s="1"/>
  <c r="U10" i="3"/>
  <c r="U10" i="1" s="1"/>
  <c r="U16" i="3"/>
  <c r="U16" i="1" s="1"/>
  <c r="T16" i="3"/>
  <c r="T16" i="1" s="1"/>
  <c r="U14" i="3"/>
  <c r="U14" i="1" s="1"/>
  <c r="T14" i="3"/>
  <c r="T14" i="1" s="1"/>
  <c r="U17" i="3"/>
  <c r="U17" i="1" s="1"/>
  <c r="T17" i="3"/>
  <c r="T17" i="1" s="1"/>
  <c r="T3" i="3"/>
  <c r="T3" i="1" s="1"/>
  <c r="S9" i="3"/>
  <c r="U7" i="3"/>
  <c r="U7" i="1" s="1"/>
  <c r="T7" i="3"/>
  <c r="T7" i="1" s="1"/>
  <c r="U18" i="3"/>
  <c r="U18" i="1" s="1"/>
  <c r="T18" i="3"/>
  <c r="T18" i="1" s="1"/>
  <c r="U21" i="3"/>
  <c r="U21" i="1" s="1"/>
  <c r="T21" i="3"/>
  <c r="T21" i="1" s="1"/>
  <c r="U8" i="3"/>
  <c r="U8" i="1" s="1"/>
  <c r="T8" i="3"/>
  <c r="T8" i="1" s="1"/>
  <c r="U6" i="3"/>
  <c r="U6" i="1" s="1"/>
  <c r="T6" i="3"/>
  <c r="T6" i="1" s="1"/>
  <c r="Y55" i="11" l="1"/>
  <c r="Y55" i="12"/>
  <c r="Y55" i="9"/>
  <c r="Y55" i="10"/>
  <c r="K51" i="1"/>
  <c r="K52" i="1" s="1"/>
  <c r="L217" i="2" s="1"/>
  <c r="J226" i="2"/>
  <c r="K226" i="2"/>
  <c r="T49" i="1"/>
  <c r="U48" i="3"/>
  <c r="U50" i="1"/>
  <c r="U49" i="1"/>
  <c r="U47" i="3"/>
  <c r="U3" i="3"/>
  <c r="U3" i="1" s="1"/>
  <c r="U9" i="3"/>
  <c r="U9" i="1" s="1"/>
  <c r="T9" i="3"/>
  <c r="T9" i="1" s="1"/>
  <c r="Z55" i="11" l="1"/>
  <c r="Z55" i="12"/>
  <c r="Z55" i="9"/>
  <c r="Z55" i="10"/>
  <c r="F196" i="1"/>
  <c r="G196" i="1"/>
  <c r="H196" i="1"/>
  <c r="I196" i="1"/>
  <c r="J196" i="1"/>
  <c r="K196" i="1"/>
  <c r="M196" i="1"/>
  <c r="N196" i="1"/>
  <c r="O196" i="1"/>
  <c r="P196" i="1"/>
  <c r="Q196" i="1"/>
  <c r="R196" i="1"/>
  <c r="S196" i="1"/>
  <c r="T196" i="1"/>
  <c r="U196" i="1"/>
  <c r="V196" i="1"/>
  <c r="W196" i="1"/>
  <c r="X196" i="1"/>
  <c r="E196" i="1"/>
  <c r="D190" i="1"/>
  <c r="D191" i="1"/>
  <c r="D192" i="1"/>
  <c r="D193" i="1"/>
  <c r="D194" i="1"/>
  <c r="F195" i="1"/>
  <c r="G195" i="1"/>
  <c r="H195" i="1"/>
  <c r="I195" i="1"/>
  <c r="J195" i="1"/>
  <c r="K195" i="1"/>
  <c r="M195" i="1"/>
  <c r="N195" i="1"/>
  <c r="O195" i="1"/>
  <c r="P195" i="1"/>
  <c r="Q195" i="1"/>
  <c r="R195" i="1"/>
  <c r="S195" i="1"/>
  <c r="T195" i="1"/>
  <c r="U195" i="1"/>
  <c r="V195" i="1"/>
  <c r="W195" i="1"/>
  <c r="X195" i="1"/>
  <c r="E195" i="1"/>
  <c r="D196" i="1" l="1"/>
  <c r="D195" i="1"/>
  <c r="B3" i="1" l="1"/>
  <c r="N3" i="1" l="1"/>
  <c r="M7" i="1" l="1"/>
  <c r="N7" i="1"/>
  <c r="M9" i="1"/>
  <c r="N9" i="1"/>
  <c r="M13" i="1"/>
  <c r="N13" i="1"/>
  <c r="M14" i="1"/>
  <c r="N14" i="1"/>
  <c r="M15" i="1"/>
  <c r="N15" i="1"/>
  <c r="M16" i="1"/>
  <c r="N16" i="1"/>
  <c r="M17" i="1"/>
  <c r="N17" i="1"/>
  <c r="M6" i="1"/>
  <c r="N6" i="1"/>
  <c r="M8" i="1"/>
  <c r="N8" i="1"/>
  <c r="M4" i="1"/>
  <c r="N4" i="1"/>
  <c r="M10" i="1"/>
  <c r="N10" i="1"/>
  <c r="M18" i="1"/>
  <c r="N18" i="1"/>
  <c r="M3" i="1"/>
  <c r="L220" i="2" l="1"/>
  <c r="K220" i="2"/>
  <c r="I220" i="2"/>
  <c r="H220" i="2"/>
  <c r="J220" i="2"/>
  <c r="G220" i="2"/>
  <c r="B33" i="3"/>
  <c r="B38" i="1" l="1"/>
  <c r="F36" i="3" l="1"/>
  <c r="G36" i="3" s="1"/>
  <c r="H36" i="3" s="1"/>
  <c r="I36" i="3" s="1"/>
  <c r="J36" i="3" s="1"/>
  <c r="K36" i="3" s="1"/>
  <c r="F35" i="3"/>
  <c r="C38" i="1"/>
  <c r="M38" i="1" s="1"/>
  <c r="M36" i="3"/>
  <c r="B42" i="1"/>
  <c r="B48" i="1"/>
  <c r="B41" i="3"/>
  <c r="B50" i="3" s="1"/>
  <c r="C216" i="2" s="1"/>
  <c r="B39" i="1"/>
  <c r="B40" i="1"/>
  <c r="B37" i="1"/>
  <c r="B47" i="1"/>
  <c r="B41" i="1"/>
  <c r="B45" i="1"/>
  <c r="B46" i="1"/>
  <c r="P38" i="1" l="1"/>
  <c r="F38" i="3"/>
  <c r="G38" i="3" s="1"/>
  <c r="H38" i="3" s="1"/>
  <c r="I38" i="3" s="1"/>
  <c r="J38" i="3" s="1"/>
  <c r="K38" i="3" s="1"/>
  <c r="F40" i="3"/>
  <c r="G40" i="3" s="1"/>
  <c r="H40" i="3" s="1"/>
  <c r="I40" i="3" s="1"/>
  <c r="J40" i="3" s="1"/>
  <c r="K40" i="3" s="1"/>
  <c r="F39" i="3"/>
  <c r="G39" i="3" s="1"/>
  <c r="H39" i="3" s="1"/>
  <c r="I39" i="3" s="1"/>
  <c r="J39" i="3" s="1"/>
  <c r="K39" i="3" s="1"/>
  <c r="G35" i="3"/>
  <c r="N38" i="1"/>
  <c r="N36" i="3"/>
  <c r="C48" i="1"/>
  <c r="M48" i="1" s="1"/>
  <c r="M46" i="3"/>
  <c r="C42" i="1"/>
  <c r="M42" i="1" s="1"/>
  <c r="M40" i="3"/>
  <c r="B43" i="1"/>
  <c r="B52" i="1" s="1"/>
  <c r="C217" i="2" s="1"/>
  <c r="C41" i="3"/>
  <c r="C50" i="3" s="1"/>
  <c r="D216" i="2" s="1"/>
  <c r="C41" i="1"/>
  <c r="M41" i="1" s="1"/>
  <c r="C47" i="1"/>
  <c r="M47" i="1" s="1"/>
  <c r="C37" i="1"/>
  <c r="M37" i="1" s="1"/>
  <c r="C46" i="1"/>
  <c r="M46" i="1" s="1"/>
  <c r="C40" i="1"/>
  <c r="M40" i="1" s="1"/>
  <c r="C45" i="1"/>
  <c r="M45" i="1" s="1"/>
  <c r="M38" i="3"/>
  <c r="C39" i="1"/>
  <c r="M39" i="1" s="1"/>
  <c r="M43" i="3"/>
  <c r="M45" i="3"/>
  <c r="M37" i="3"/>
  <c r="M39" i="3"/>
  <c r="M44" i="3"/>
  <c r="M35" i="3"/>
  <c r="C218" i="2"/>
  <c r="Q38" i="1" l="1"/>
  <c r="P42" i="1"/>
  <c r="N40" i="1"/>
  <c r="N47" i="1"/>
  <c r="N45" i="1"/>
  <c r="N41" i="1"/>
  <c r="P48" i="1"/>
  <c r="O38" i="1"/>
  <c r="H35" i="3"/>
  <c r="R38" i="1"/>
  <c r="N39" i="1"/>
  <c r="O36" i="3"/>
  <c r="B53" i="3"/>
  <c r="B55" i="3" s="1"/>
  <c r="N42" i="1"/>
  <c r="N40" i="3"/>
  <c r="N46" i="3"/>
  <c r="N48" i="1"/>
  <c r="C43" i="1"/>
  <c r="C52" i="1" s="1"/>
  <c r="D217" i="2" s="1"/>
  <c r="N37" i="1"/>
  <c r="D41" i="3"/>
  <c r="N45" i="3"/>
  <c r="N44" i="3"/>
  <c r="N46" i="1"/>
  <c r="N43" i="3"/>
  <c r="N37" i="3"/>
  <c r="N38" i="3"/>
  <c r="N39" i="3"/>
  <c r="C220" i="2"/>
  <c r="N35" i="3"/>
  <c r="B77" i="1"/>
  <c r="M41" i="3"/>
  <c r="B85" i="1"/>
  <c r="B79" i="1"/>
  <c r="B25" i="1"/>
  <c r="B78" i="1"/>
  <c r="B84" i="1"/>
  <c r="B80" i="1"/>
  <c r="B76" i="1"/>
  <c r="B35" i="1"/>
  <c r="B68" i="1" s="1"/>
  <c r="D49" i="3" l="1"/>
  <c r="N49" i="3" s="1"/>
  <c r="C221" i="2"/>
  <c r="Q42" i="1"/>
  <c r="M43" i="1"/>
  <c r="Q48" i="1"/>
  <c r="O48" i="1"/>
  <c r="O37" i="1"/>
  <c r="O42" i="1"/>
  <c r="C219" i="2"/>
  <c r="B58" i="1"/>
  <c r="I35" i="3"/>
  <c r="O40" i="1"/>
  <c r="R42" i="1"/>
  <c r="O41" i="1"/>
  <c r="S38" i="1"/>
  <c r="O46" i="1"/>
  <c r="O47" i="1"/>
  <c r="O45" i="1"/>
  <c r="P37" i="1"/>
  <c r="P36" i="3"/>
  <c r="B57" i="3"/>
  <c r="C54" i="3"/>
  <c r="O40" i="3"/>
  <c r="O46" i="3"/>
  <c r="O38" i="3"/>
  <c r="O39" i="3"/>
  <c r="O43" i="3"/>
  <c r="O45" i="3"/>
  <c r="O44" i="3"/>
  <c r="C30" i="1"/>
  <c r="B86" i="1"/>
  <c r="B65" i="1"/>
  <c r="B67" i="1"/>
  <c r="B72" i="1"/>
  <c r="B71" i="1"/>
  <c r="M50" i="3"/>
  <c r="C51" i="3"/>
  <c r="B66" i="1"/>
  <c r="B55" i="1"/>
  <c r="B73" i="1"/>
  <c r="B64" i="1"/>
  <c r="B70" i="1"/>
  <c r="O35" i="3"/>
  <c r="N41" i="3"/>
  <c r="B81" i="1"/>
  <c r="B69" i="1"/>
  <c r="D50" i="3" l="1"/>
  <c r="N50" i="3" s="1"/>
  <c r="M30" i="1"/>
  <c r="P46" i="1"/>
  <c r="P41" i="1"/>
  <c r="P40" i="1"/>
  <c r="N43" i="1"/>
  <c r="P45" i="1"/>
  <c r="P47" i="1"/>
  <c r="R48" i="1"/>
  <c r="C53" i="1"/>
  <c r="M52" i="1"/>
  <c r="J35" i="3"/>
  <c r="P44" i="3"/>
  <c r="Q46" i="1"/>
  <c r="P38" i="3"/>
  <c r="Q45" i="1"/>
  <c r="P45" i="3"/>
  <c r="Q40" i="1"/>
  <c r="Q41" i="1"/>
  <c r="P39" i="3"/>
  <c r="S42" i="1"/>
  <c r="Q37" i="1"/>
  <c r="P43" i="3"/>
  <c r="Q47" i="1"/>
  <c r="T38" i="1"/>
  <c r="Q36" i="3"/>
  <c r="P46" i="3"/>
  <c r="P40" i="3"/>
  <c r="C31" i="1"/>
  <c r="C29" i="1"/>
  <c r="C34" i="1"/>
  <c r="C33" i="1"/>
  <c r="C28" i="1"/>
  <c r="C32" i="1"/>
  <c r="M29" i="3"/>
  <c r="M28" i="3"/>
  <c r="P35" i="3"/>
  <c r="M27" i="3"/>
  <c r="Q44" i="3"/>
  <c r="M26" i="3"/>
  <c r="C33" i="3"/>
  <c r="M32" i="3"/>
  <c r="M30" i="3"/>
  <c r="M31" i="3"/>
  <c r="E216" i="2" l="1"/>
  <c r="D51" i="3"/>
  <c r="M31" i="1"/>
  <c r="M32" i="1"/>
  <c r="D26" i="3"/>
  <c r="D27" i="3"/>
  <c r="D29" i="3"/>
  <c r="D28" i="3"/>
  <c r="D32" i="3"/>
  <c r="D31" i="3"/>
  <c r="D30" i="3"/>
  <c r="M28" i="1"/>
  <c r="M33" i="1"/>
  <c r="M34" i="1"/>
  <c r="D53" i="1"/>
  <c r="C23" i="3"/>
  <c r="M19" i="3"/>
  <c r="R46" i="1"/>
  <c r="N52" i="1"/>
  <c r="U38" i="1"/>
  <c r="C84" i="1"/>
  <c r="M29" i="1"/>
  <c r="S48" i="1"/>
  <c r="K35" i="3"/>
  <c r="Q38" i="3"/>
  <c r="R45" i="1"/>
  <c r="R47" i="1"/>
  <c r="Q45" i="3"/>
  <c r="Q43" i="3"/>
  <c r="R40" i="1"/>
  <c r="Q39" i="3"/>
  <c r="R41" i="1"/>
  <c r="T42" i="1"/>
  <c r="R37" i="1"/>
  <c r="R36" i="3"/>
  <c r="Q46" i="3"/>
  <c r="Q40" i="3"/>
  <c r="C35" i="1"/>
  <c r="D30" i="1" s="1"/>
  <c r="C80" i="1"/>
  <c r="C79" i="1"/>
  <c r="C85" i="1"/>
  <c r="C78" i="1"/>
  <c r="C76" i="1"/>
  <c r="C77" i="1"/>
  <c r="C223" i="2"/>
  <c r="B59" i="1"/>
  <c r="C56" i="1"/>
  <c r="R43" i="3"/>
  <c r="M33" i="3"/>
  <c r="R44" i="3"/>
  <c r="S46" i="1"/>
  <c r="Q35" i="3"/>
  <c r="D33" i="1" l="1"/>
  <c r="N33" i="1" s="1"/>
  <c r="D28" i="1"/>
  <c r="N28" i="1" s="1"/>
  <c r="D29" i="1"/>
  <c r="N29" i="1" s="1"/>
  <c r="D32" i="1"/>
  <c r="N32" i="1" s="1"/>
  <c r="D34" i="1"/>
  <c r="N34" i="1" s="1"/>
  <c r="D31" i="1"/>
  <c r="N30" i="1"/>
  <c r="C53" i="3"/>
  <c r="M23" i="3"/>
  <c r="C24" i="3"/>
  <c r="C86" i="1"/>
  <c r="S45" i="1"/>
  <c r="T48" i="1"/>
  <c r="C68" i="1"/>
  <c r="M35" i="1"/>
  <c r="U42" i="1"/>
  <c r="R38" i="3"/>
  <c r="R45" i="3"/>
  <c r="S47" i="1"/>
  <c r="S40" i="1"/>
  <c r="R39" i="3"/>
  <c r="S41" i="1"/>
  <c r="S37" i="1"/>
  <c r="S36" i="3"/>
  <c r="R40" i="3"/>
  <c r="R46" i="3"/>
  <c r="N26" i="3"/>
  <c r="C64" i="1"/>
  <c r="C72" i="1"/>
  <c r="D90" i="1" s="1"/>
  <c r="C70" i="1"/>
  <c r="C73" i="1"/>
  <c r="C66" i="1"/>
  <c r="D89" i="1" s="1"/>
  <c r="C65" i="1"/>
  <c r="C69" i="1"/>
  <c r="C67" i="1"/>
  <c r="C71" i="1"/>
  <c r="C81" i="1"/>
  <c r="D33" i="3"/>
  <c r="N29" i="3"/>
  <c r="N32" i="3"/>
  <c r="T45" i="1"/>
  <c r="S43" i="3"/>
  <c r="S38" i="3"/>
  <c r="N31" i="3"/>
  <c r="N30" i="3"/>
  <c r="N27" i="3"/>
  <c r="N28" i="3"/>
  <c r="R35" i="3"/>
  <c r="T46" i="1"/>
  <c r="S44" i="3"/>
  <c r="E32" i="3" l="1"/>
  <c r="N31" i="1"/>
  <c r="D35" i="1"/>
  <c r="D91" i="1"/>
  <c r="G227" i="2"/>
  <c r="C57" i="3"/>
  <c r="C55" i="3"/>
  <c r="C57" i="1" s="1"/>
  <c r="D54" i="3"/>
  <c r="N19" i="3" s="1"/>
  <c r="C58" i="1"/>
  <c r="S51" i="9" s="1"/>
  <c r="E25" i="3"/>
  <c r="T47" i="1"/>
  <c r="T40" i="1"/>
  <c r="S45" i="3"/>
  <c r="T41" i="1"/>
  <c r="S39" i="3"/>
  <c r="T37" i="1"/>
  <c r="T36" i="3"/>
  <c r="U36" i="3"/>
  <c r="S40" i="3"/>
  <c r="S46" i="3"/>
  <c r="D78" i="1"/>
  <c r="D76" i="1"/>
  <c r="N33" i="3"/>
  <c r="T45" i="3"/>
  <c r="D80" i="1"/>
  <c r="S35" i="3"/>
  <c r="D85" i="1"/>
  <c r="D84" i="1"/>
  <c r="T44" i="3"/>
  <c r="T43" i="3"/>
  <c r="D79" i="1"/>
  <c r="D77" i="1"/>
  <c r="E34" i="1" l="1"/>
  <c r="O34" i="1" s="1"/>
  <c r="N35" i="1"/>
  <c r="D23" i="3"/>
  <c r="D24" i="3" s="1"/>
  <c r="U37" i="1"/>
  <c r="T38" i="3"/>
  <c r="U40" i="1"/>
  <c r="T39" i="3"/>
  <c r="U43" i="3"/>
  <c r="U45" i="1"/>
  <c r="U38" i="3"/>
  <c r="U44" i="3"/>
  <c r="U46" i="1"/>
  <c r="U45" i="3"/>
  <c r="U47" i="1"/>
  <c r="U39" i="3"/>
  <c r="U41" i="1"/>
  <c r="T46" i="3"/>
  <c r="U40" i="3"/>
  <c r="T40" i="3"/>
  <c r="N30" i="6"/>
  <c r="F30" i="6"/>
  <c r="D30" i="6"/>
  <c r="M30" i="6"/>
  <c r="E30" i="6"/>
  <c r="L30" i="6"/>
  <c r="K30" i="6"/>
  <c r="J30" i="6"/>
  <c r="I30" i="6"/>
  <c r="O30" i="6"/>
  <c r="H30" i="6"/>
  <c r="G30" i="6"/>
  <c r="D64" i="1"/>
  <c r="D86" i="1"/>
  <c r="D71" i="1"/>
  <c r="D68" i="1"/>
  <c r="D70" i="1"/>
  <c r="D67" i="1"/>
  <c r="D65" i="1"/>
  <c r="D69" i="1"/>
  <c r="D66" i="1"/>
  <c r="E89" i="1" s="1"/>
  <c r="T35" i="3"/>
  <c r="D81" i="1"/>
  <c r="O32" i="3"/>
  <c r="D73" i="1"/>
  <c r="D72" i="1"/>
  <c r="E90" i="1" s="1"/>
  <c r="N23" i="3" l="1"/>
  <c r="D53" i="3"/>
  <c r="D56" i="3" s="1"/>
  <c r="E54" i="3" s="1"/>
  <c r="E91" i="1"/>
  <c r="U46" i="3"/>
  <c r="U48" i="1"/>
  <c r="U35" i="3"/>
  <c r="E19" i="3" l="1"/>
  <c r="E23" i="3" s="1"/>
  <c r="E24" i="3" l="1"/>
  <c r="D218" i="2" l="1"/>
  <c r="M19" i="1"/>
  <c r="C25" i="1" l="1"/>
  <c r="D220" i="2"/>
  <c r="D221" i="2" l="1"/>
  <c r="M26" i="1"/>
  <c r="D219" i="2"/>
  <c r="M25" i="1"/>
  <c r="C26" i="1"/>
  <c r="C55" i="1"/>
  <c r="D223" i="2" l="1"/>
  <c r="D224" i="2"/>
  <c r="D56" i="1"/>
  <c r="D19" i="1" s="1"/>
  <c r="D225" i="2"/>
  <c r="C59" i="1"/>
  <c r="C32" i="6" l="1"/>
  <c r="N19" i="1"/>
  <c r="E218" i="2" l="1"/>
  <c r="E220" i="2" l="1"/>
  <c r="N24" i="1"/>
  <c r="D25" i="1"/>
  <c r="E221" i="2" l="1"/>
  <c r="N26" i="1"/>
  <c r="E219" i="2"/>
  <c r="H27" i="6"/>
  <c r="H31" i="6" s="1"/>
  <c r="J27" i="6"/>
  <c r="J31" i="6" s="1"/>
  <c r="I27" i="6"/>
  <c r="I31" i="6" s="1"/>
  <c r="K27" i="6"/>
  <c r="K31" i="6" s="1"/>
  <c r="G27" i="6"/>
  <c r="G31" i="6" s="1"/>
  <c r="D26" i="1"/>
  <c r="E27" i="6"/>
  <c r="E31" i="6" s="1"/>
  <c r="N25" i="1"/>
  <c r="L27" i="6"/>
  <c r="L31" i="6" s="1"/>
  <c r="D27" i="6"/>
  <c r="D31" i="6" s="1"/>
  <c r="D32" i="6" s="1"/>
  <c r="M27" i="6"/>
  <c r="M31" i="6" s="1"/>
  <c r="D55" i="1"/>
  <c r="O27" i="6"/>
  <c r="O31" i="6" s="1"/>
  <c r="F27" i="6"/>
  <c r="F31" i="6" s="1"/>
  <c r="N27" i="6"/>
  <c r="N31" i="6" s="1"/>
  <c r="S52" i="12" l="1"/>
  <c r="S56" i="12"/>
  <c r="S54" i="12"/>
  <c r="S52" i="10"/>
  <c r="S56" i="10" s="1"/>
  <c r="S52" i="11"/>
  <c r="D58" i="1"/>
  <c r="S52" i="9"/>
  <c r="O35" i="6"/>
  <c r="D33" i="6" s="1"/>
  <c r="E33" i="6" s="1"/>
  <c r="F33" i="6" s="1"/>
  <c r="G33" i="6" s="1"/>
  <c r="H33" i="6" s="1"/>
  <c r="I33" i="6" s="1"/>
  <c r="J33" i="6" s="1"/>
  <c r="K33" i="6" s="1"/>
  <c r="L33" i="6" s="1"/>
  <c r="M33" i="6" s="1"/>
  <c r="N33" i="6" s="1"/>
  <c r="O33" i="6" s="1"/>
  <c r="E32" i="6"/>
  <c r="S54" i="10" l="1"/>
  <c r="T51" i="11"/>
  <c r="T51" i="12"/>
  <c r="E224" i="2"/>
  <c r="D59" i="1"/>
  <c r="E223" i="2"/>
  <c r="T51" i="9"/>
  <c r="S56" i="11"/>
  <c r="S54" i="11"/>
  <c r="E225" i="2"/>
  <c r="D60" i="1"/>
  <c r="T51" i="10"/>
  <c r="E56" i="1"/>
  <c r="E19" i="1" s="1"/>
  <c r="O19" i="1" s="1"/>
  <c r="S56" i="9"/>
  <c r="S54" i="9"/>
  <c r="F32" i="6"/>
  <c r="G32" i="6" l="1"/>
  <c r="D57" i="3"/>
  <c r="H32" i="6" l="1"/>
  <c r="O19" i="3"/>
  <c r="I32" i="6" l="1"/>
  <c r="O23" i="3"/>
  <c r="F218" i="2"/>
  <c r="J32" i="6" l="1"/>
  <c r="O24" i="1"/>
  <c r="P24" i="1"/>
  <c r="E25" i="1"/>
  <c r="F220" i="2"/>
  <c r="F221" i="2" l="1"/>
  <c r="O26" i="1"/>
  <c r="K32" i="6"/>
  <c r="F219" i="2"/>
  <c r="S27" i="6"/>
  <c r="AA27" i="6"/>
  <c r="O25" i="1"/>
  <c r="E26" i="1"/>
  <c r="V27" i="6"/>
  <c r="Y27" i="6"/>
  <c r="T27" i="6"/>
  <c r="Q27" i="6"/>
  <c r="W27" i="6"/>
  <c r="R27" i="6"/>
  <c r="Z27" i="6"/>
  <c r="P27" i="6"/>
  <c r="U27" i="6"/>
  <c r="X27" i="6"/>
  <c r="L32" i="6" l="1"/>
  <c r="M32" i="6" l="1"/>
  <c r="N32" i="6" l="1"/>
  <c r="O32" i="6" l="1"/>
  <c r="B56" i="1" l="1"/>
  <c r="B57" i="1"/>
  <c r="E139" i="2" l="1"/>
  <c r="F139" i="2" l="1"/>
  <c r="G139" i="2" l="1"/>
  <c r="H139" i="2" l="1"/>
  <c r="I139" i="2" l="1"/>
  <c r="J139" i="2" l="1"/>
  <c r="K139" i="2" l="1"/>
  <c r="L139" i="2" l="1"/>
  <c r="M139" i="2" l="1"/>
  <c r="L103" i="8"/>
  <c r="L108" i="8"/>
  <c r="L102" i="8"/>
  <c r="K102" i="8"/>
  <c r="K103" i="8"/>
  <c r="K108" i="8"/>
  <c r="J102" i="8"/>
  <c r="I102" i="8"/>
  <c r="J103" i="8"/>
  <c r="J108" i="8"/>
  <c r="H102" i="8"/>
  <c r="I103" i="8"/>
  <c r="I108" i="8"/>
  <c r="G102" i="8"/>
  <c r="H103" i="8"/>
  <c r="H108" i="8"/>
  <c r="F102" i="8"/>
  <c r="G103" i="8"/>
  <c r="G108" i="8"/>
  <c r="F103" i="8"/>
  <c r="E102" i="8"/>
  <c r="F108" i="8"/>
  <c r="E103" i="8"/>
  <c r="D102" i="8"/>
  <c r="E108" i="8"/>
  <c r="D103" i="8"/>
  <c r="D108" i="8"/>
  <c r="K101" i="8"/>
  <c r="L138" i="2" s="1"/>
  <c r="J101" i="8"/>
  <c r="K138" i="2" s="1"/>
  <c r="I101" i="8"/>
  <c r="J138" i="2" s="1"/>
  <c r="H101" i="8"/>
  <c r="I138" i="2" s="1"/>
  <c r="G101" i="8"/>
  <c r="G138" i="2"/>
  <c r="F101" i="8"/>
  <c r="E101" i="8"/>
  <c r="F138" i="2" s="1"/>
  <c r="L101" i="8"/>
  <c r="M138" i="2" s="1"/>
  <c r="E138" i="2"/>
  <c r="D101" i="8"/>
  <c r="E37" i="3" l="1"/>
  <c r="N100" i="2"/>
  <c r="H138" i="2"/>
  <c r="F37" i="3" l="1"/>
  <c r="G37" i="3" s="1"/>
  <c r="Q37" i="3" s="1"/>
  <c r="N106" i="2"/>
  <c r="G104" i="2"/>
  <c r="G102" i="2"/>
  <c r="G103" i="2"/>
  <c r="G98" i="2"/>
  <c r="G99" i="2"/>
  <c r="G100" i="2"/>
  <c r="E41" i="3"/>
  <c r="E49" i="3" s="1"/>
  <c r="O37" i="3"/>
  <c r="E50" i="3" l="1"/>
  <c r="F216" i="2" s="1"/>
  <c r="O49" i="3"/>
  <c r="E27" i="3"/>
  <c r="O27" i="3" s="1"/>
  <c r="E29" i="1"/>
  <c r="E30" i="3"/>
  <c r="O30" i="3" s="1"/>
  <c r="E32" i="1"/>
  <c r="E28" i="3"/>
  <c r="O28" i="3" s="1"/>
  <c r="E30" i="1"/>
  <c r="E31" i="3"/>
  <c r="O31" i="3" s="1"/>
  <c r="E33" i="1"/>
  <c r="E29" i="3"/>
  <c r="O29" i="3" s="1"/>
  <c r="E31" i="1"/>
  <c r="E26" i="3"/>
  <c r="E28" i="1"/>
  <c r="F41" i="3"/>
  <c r="P37" i="3"/>
  <c r="G41" i="3"/>
  <c r="H37" i="3"/>
  <c r="I37" i="3" s="1"/>
  <c r="G106" i="2"/>
  <c r="N107" i="2" s="1"/>
  <c r="O39" i="1"/>
  <c r="O41" i="3"/>
  <c r="P39" i="1"/>
  <c r="P41" i="3" l="1"/>
  <c r="F49" i="3"/>
  <c r="G49" i="3"/>
  <c r="Q49" i="3" s="1"/>
  <c r="Q41" i="3"/>
  <c r="E35" i="1"/>
  <c r="H41" i="3"/>
  <c r="R37" i="3"/>
  <c r="Q39" i="1"/>
  <c r="E78" i="1"/>
  <c r="E33" i="3"/>
  <c r="O26" i="3"/>
  <c r="E51" i="3"/>
  <c r="O50" i="3"/>
  <c r="E53" i="3"/>
  <c r="E56" i="3" s="1"/>
  <c r="O32" i="1"/>
  <c r="O43" i="1"/>
  <c r="O33" i="1"/>
  <c r="E79" i="1"/>
  <c r="O29" i="1"/>
  <c r="E84" i="1"/>
  <c r="O31" i="1"/>
  <c r="O30" i="1"/>
  <c r="E85" i="1"/>
  <c r="I41" i="3"/>
  <c r="S37" i="3"/>
  <c r="J37" i="3"/>
  <c r="R39" i="1"/>
  <c r="P43" i="1"/>
  <c r="Q43" i="1"/>
  <c r="G50" i="3" l="1"/>
  <c r="H226" i="2" s="1"/>
  <c r="F50" i="3"/>
  <c r="P49" i="3"/>
  <c r="I49" i="3"/>
  <c r="I50" i="3" s="1"/>
  <c r="J216" i="2" s="1"/>
  <c r="R41" i="3"/>
  <c r="H49" i="3"/>
  <c r="R49" i="3" s="1"/>
  <c r="F28" i="1"/>
  <c r="F29" i="1"/>
  <c r="F34" i="1"/>
  <c r="F31" i="1"/>
  <c r="F33" i="1"/>
  <c r="F30" i="1"/>
  <c r="F32" i="1"/>
  <c r="F31" i="3"/>
  <c r="P31" i="3" s="1"/>
  <c r="F32" i="3"/>
  <c r="P32" i="3" s="1"/>
  <c r="F27" i="3"/>
  <c r="P27" i="3" s="1"/>
  <c r="F30" i="3"/>
  <c r="F26" i="3"/>
  <c r="P26" i="3" s="1"/>
  <c r="F29" i="3"/>
  <c r="F28" i="3"/>
  <c r="F51" i="3"/>
  <c r="Q50" i="3"/>
  <c r="P50" i="3"/>
  <c r="G53" i="1"/>
  <c r="E77" i="1"/>
  <c r="E86" i="1"/>
  <c r="E57" i="3"/>
  <c r="F54" i="3"/>
  <c r="F19" i="3" s="1"/>
  <c r="O52" i="1"/>
  <c r="E53" i="1"/>
  <c r="E55" i="1"/>
  <c r="O33" i="3"/>
  <c r="E67" i="1"/>
  <c r="O28" i="1"/>
  <c r="E80" i="1"/>
  <c r="E76" i="1"/>
  <c r="R43" i="1"/>
  <c r="K37" i="3"/>
  <c r="J41" i="3"/>
  <c r="J49" i="3" s="1"/>
  <c r="T37" i="3"/>
  <c r="S41" i="3"/>
  <c r="S39" i="1"/>
  <c r="Q52" i="1"/>
  <c r="F53" i="1"/>
  <c r="P52" i="1"/>
  <c r="T52" i="12" l="1"/>
  <c r="T56" i="12" s="1"/>
  <c r="T54" i="12"/>
  <c r="U51" i="12" s="1"/>
  <c r="T52" i="10"/>
  <c r="T54" i="10" s="1"/>
  <c r="U51" i="10" s="1"/>
  <c r="T52" i="11"/>
  <c r="H50" i="3"/>
  <c r="I216" i="2" s="1"/>
  <c r="S49" i="3"/>
  <c r="G226" i="2"/>
  <c r="G216" i="2"/>
  <c r="J50" i="3"/>
  <c r="K216" i="2" s="1"/>
  <c r="T49" i="3"/>
  <c r="H216" i="2"/>
  <c r="F227" i="2"/>
  <c r="E31" i="2" s="1"/>
  <c r="G51" i="3"/>
  <c r="E58" i="1"/>
  <c r="E60" i="1" s="1"/>
  <c r="T52" i="9"/>
  <c r="P29" i="3"/>
  <c r="F35" i="1"/>
  <c r="G32" i="1" s="1"/>
  <c r="P33" i="1"/>
  <c r="P31" i="1"/>
  <c r="P28" i="3"/>
  <c r="F33" i="3"/>
  <c r="G31" i="3" s="1"/>
  <c r="P30" i="3"/>
  <c r="E81" i="1"/>
  <c r="E72" i="1"/>
  <c r="F90" i="1" s="1"/>
  <c r="O35" i="1"/>
  <c r="Z30" i="6"/>
  <c r="Z31" i="6" s="1"/>
  <c r="E71" i="1"/>
  <c r="W30" i="6"/>
  <c r="W31" i="6" s="1"/>
  <c r="Y30" i="6"/>
  <c r="Y31" i="6" s="1"/>
  <c r="X30" i="6"/>
  <c r="X31" i="6" s="1"/>
  <c r="AA30" i="6"/>
  <c r="AA31" i="6" s="1"/>
  <c r="R30" i="6"/>
  <c r="R31" i="6" s="1"/>
  <c r="P30" i="6"/>
  <c r="P31" i="6" s="1"/>
  <c r="V30" i="6"/>
  <c r="V31" i="6" s="1"/>
  <c r="S30" i="6"/>
  <c r="S31" i="6" s="1"/>
  <c r="U30" i="6"/>
  <c r="U31" i="6" s="1"/>
  <c r="Q30" i="6"/>
  <c r="Q31" i="6" s="1"/>
  <c r="E73" i="1"/>
  <c r="T30" i="6"/>
  <c r="T31" i="6" s="1"/>
  <c r="E69" i="1"/>
  <c r="E66" i="1"/>
  <c r="F89" i="1" s="1"/>
  <c r="E64" i="1"/>
  <c r="E65" i="1"/>
  <c r="E68" i="1"/>
  <c r="E70" i="1"/>
  <c r="P19" i="3"/>
  <c r="F23" i="3"/>
  <c r="T41" i="3"/>
  <c r="T39" i="1"/>
  <c r="K41" i="3"/>
  <c r="U37" i="3"/>
  <c r="S43" i="1"/>
  <c r="R52" i="1"/>
  <c r="H53" i="1"/>
  <c r="P30" i="1"/>
  <c r="P34" i="1"/>
  <c r="P32" i="1"/>
  <c r="T56" i="10" l="1"/>
  <c r="I226" i="2"/>
  <c r="T56" i="11"/>
  <c r="T54" i="11"/>
  <c r="U51" i="11" s="1"/>
  <c r="H51" i="3"/>
  <c r="R50" i="3"/>
  <c r="I51" i="3"/>
  <c r="S50" i="3"/>
  <c r="K49" i="3"/>
  <c r="U49" i="3" s="1"/>
  <c r="F225" i="2"/>
  <c r="F223" i="2"/>
  <c r="E59" i="1"/>
  <c r="F56" i="1"/>
  <c r="F19" i="1" s="1"/>
  <c r="F25" i="1" s="1"/>
  <c r="F224" i="2"/>
  <c r="T56" i="9"/>
  <c r="T54" i="9"/>
  <c r="U51" i="9" s="1"/>
  <c r="G28" i="1"/>
  <c r="G29" i="1"/>
  <c r="G34" i="1"/>
  <c r="G31" i="1"/>
  <c r="G33" i="1"/>
  <c r="G30" i="1"/>
  <c r="G26" i="3"/>
  <c r="G32" i="3"/>
  <c r="Q32" i="3" s="1"/>
  <c r="G29" i="3"/>
  <c r="Q29" i="3" s="1"/>
  <c r="G27" i="3"/>
  <c r="Q27" i="3" s="1"/>
  <c r="G28" i="3"/>
  <c r="G30" i="3"/>
  <c r="Q30" i="3" s="1"/>
  <c r="Q31" i="3"/>
  <c r="F76" i="1"/>
  <c r="F70" i="1"/>
  <c r="P29" i="1"/>
  <c r="F84" i="1"/>
  <c r="F85" i="1"/>
  <c r="F78" i="1"/>
  <c r="P28" i="1"/>
  <c r="F79" i="1"/>
  <c r="F80" i="1"/>
  <c r="F77" i="1"/>
  <c r="P33" i="3"/>
  <c r="P23" i="3"/>
  <c r="F24" i="3"/>
  <c r="F53" i="3"/>
  <c r="F56" i="3" s="1"/>
  <c r="P33" i="6"/>
  <c r="Q33" i="6" s="1"/>
  <c r="R33" i="6" s="1"/>
  <c r="S33" i="6" s="1"/>
  <c r="T33" i="6" s="1"/>
  <c r="U33" i="6" s="1"/>
  <c r="V33" i="6" s="1"/>
  <c r="W33" i="6" s="1"/>
  <c r="X33" i="6" s="1"/>
  <c r="Y33" i="6" s="1"/>
  <c r="Z33" i="6" s="1"/>
  <c r="AA33" i="6" s="1"/>
  <c r="AA35" i="6"/>
  <c r="P32" i="6"/>
  <c r="F91" i="1"/>
  <c r="I53" i="1"/>
  <c r="S52" i="1"/>
  <c r="U39" i="1"/>
  <c r="U41" i="3"/>
  <c r="T43" i="1"/>
  <c r="T50" i="3"/>
  <c r="J51" i="3"/>
  <c r="AL30" i="6"/>
  <c r="AC30" i="6"/>
  <c r="F65" i="1"/>
  <c r="K50" i="3" l="1"/>
  <c r="L216" i="2" s="1"/>
  <c r="P19" i="1"/>
  <c r="L226" i="2"/>
  <c r="E28" i="2" s="1"/>
  <c r="G218" i="2"/>
  <c r="F86" i="1"/>
  <c r="G35" i="1"/>
  <c r="F69" i="1"/>
  <c r="AD30" i="6"/>
  <c r="F72" i="1"/>
  <c r="G90" i="1" s="1"/>
  <c r="F68" i="1"/>
  <c r="AF30" i="6"/>
  <c r="AM30" i="6"/>
  <c r="P35" i="1"/>
  <c r="AE30" i="6"/>
  <c r="AB30" i="6"/>
  <c r="F64" i="1"/>
  <c r="AH30" i="6"/>
  <c r="F67" i="1"/>
  <c r="AI30" i="6"/>
  <c r="AJ30" i="6"/>
  <c r="F71" i="1"/>
  <c r="F73" i="1"/>
  <c r="AG30" i="6"/>
  <c r="F66" i="1"/>
  <c r="G89" i="1" s="1"/>
  <c r="AK30" i="6"/>
  <c r="G221" i="2"/>
  <c r="F81" i="1"/>
  <c r="Q32" i="1"/>
  <c r="G85" i="1"/>
  <c r="Q26" i="3"/>
  <c r="G33" i="3"/>
  <c r="Q28" i="3"/>
  <c r="F57" i="3"/>
  <c r="G54" i="3"/>
  <c r="G19" i="3" s="1"/>
  <c r="Q32" i="6"/>
  <c r="R32" i="6" s="1"/>
  <c r="S32" i="6" s="1"/>
  <c r="T32" i="6" s="1"/>
  <c r="U32" i="6" s="1"/>
  <c r="V32" i="6" s="1"/>
  <c r="W32" i="6" s="1"/>
  <c r="X32" i="6" s="1"/>
  <c r="Y32" i="6" s="1"/>
  <c r="Z32" i="6" s="1"/>
  <c r="AA32" i="6" s="1"/>
  <c r="AK27" i="6"/>
  <c r="AF27" i="6"/>
  <c r="AE27" i="6"/>
  <c r="AI27" i="6"/>
  <c r="AM27" i="6"/>
  <c r="AG27" i="6"/>
  <c r="G219" i="2"/>
  <c r="AJ27" i="6"/>
  <c r="AH27" i="6"/>
  <c r="AD27" i="6"/>
  <c r="AB27" i="6"/>
  <c r="AB31" i="6" s="1"/>
  <c r="AL27" i="6"/>
  <c r="AL31" i="6" s="1"/>
  <c r="P25" i="1"/>
  <c r="AC27" i="6"/>
  <c r="AC31" i="6" s="1"/>
  <c r="F26" i="1"/>
  <c r="P26" i="1"/>
  <c r="F55" i="1"/>
  <c r="J53" i="1"/>
  <c r="T52" i="1"/>
  <c r="K51" i="3"/>
  <c r="U43" i="1"/>
  <c r="Q31" i="1"/>
  <c r="G84" i="1"/>
  <c r="Q29" i="1"/>
  <c r="Q28" i="1"/>
  <c r="Q34" i="1"/>
  <c r="Q30" i="1"/>
  <c r="U52" i="12" l="1"/>
  <c r="U56" i="12"/>
  <c r="U54" i="12"/>
  <c r="V51" i="12" s="1"/>
  <c r="U52" i="10"/>
  <c r="U56" i="10" s="1"/>
  <c r="U52" i="11"/>
  <c r="U50" i="3"/>
  <c r="F58" i="1"/>
  <c r="F60" i="1" s="1"/>
  <c r="U52" i="9"/>
  <c r="H33" i="1"/>
  <c r="H34" i="1"/>
  <c r="H28" i="1"/>
  <c r="H32" i="1"/>
  <c r="H31" i="1"/>
  <c r="H30" i="1"/>
  <c r="H29" i="1"/>
  <c r="AJ31" i="6"/>
  <c r="H31" i="3"/>
  <c r="H29" i="3"/>
  <c r="H30" i="3"/>
  <c r="R30" i="3" s="1"/>
  <c r="H27" i="3"/>
  <c r="H26" i="3"/>
  <c r="R26" i="3" s="1"/>
  <c r="H28" i="3"/>
  <c r="H32" i="3"/>
  <c r="AD31" i="6"/>
  <c r="AI31" i="6"/>
  <c r="AF31" i="6"/>
  <c r="AM31" i="6"/>
  <c r="G91" i="1"/>
  <c r="AE31" i="6"/>
  <c r="AH31" i="6"/>
  <c r="AK31" i="6"/>
  <c r="AG31" i="6"/>
  <c r="G79" i="1"/>
  <c r="Q33" i="1"/>
  <c r="G78" i="1"/>
  <c r="G76" i="1"/>
  <c r="Q33" i="3"/>
  <c r="G66" i="1"/>
  <c r="H89" i="1" s="1"/>
  <c r="G77" i="1"/>
  <c r="G80" i="1"/>
  <c r="C36" i="6"/>
  <c r="AB33" i="6"/>
  <c r="AC33" i="6" s="1"/>
  <c r="AB32" i="6"/>
  <c r="AC32" i="6" s="1"/>
  <c r="G23" i="3"/>
  <c r="Q19" i="3"/>
  <c r="K53" i="1"/>
  <c r="U52" i="1"/>
  <c r="G68" i="1"/>
  <c r="G86" i="1"/>
  <c r="U54" i="10" l="1"/>
  <c r="V51" i="10" s="1"/>
  <c r="U56" i="11"/>
  <c r="U54" i="11"/>
  <c r="V51" i="11" s="1"/>
  <c r="G56" i="1"/>
  <c r="G19" i="1" s="1"/>
  <c r="H218" i="2" s="1"/>
  <c r="G224" i="2"/>
  <c r="G225" i="2"/>
  <c r="F59" i="1"/>
  <c r="G223" i="2"/>
  <c r="U56" i="9"/>
  <c r="U54" i="9"/>
  <c r="V51" i="9" s="1"/>
  <c r="R28" i="3"/>
  <c r="AD33" i="6"/>
  <c r="AE33" i="6" s="1"/>
  <c r="AF33" i="6" s="1"/>
  <c r="AG33" i="6" s="1"/>
  <c r="AH33" i="6" s="1"/>
  <c r="AI33" i="6" s="1"/>
  <c r="AJ33" i="6" s="1"/>
  <c r="AK33" i="6" s="1"/>
  <c r="AL33" i="6" s="1"/>
  <c r="AM33" i="6" s="1"/>
  <c r="R32" i="1"/>
  <c r="H35" i="1"/>
  <c r="I29" i="1" s="1"/>
  <c r="AM35" i="6"/>
  <c r="G65" i="1"/>
  <c r="G64" i="1"/>
  <c r="G73" i="1"/>
  <c r="G71" i="1"/>
  <c r="Q35" i="1"/>
  <c r="G72" i="1"/>
  <c r="H90" i="1" s="1"/>
  <c r="H91" i="1" s="1"/>
  <c r="G67" i="1"/>
  <c r="G69" i="1"/>
  <c r="G70" i="1"/>
  <c r="H80" i="1"/>
  <c r="R27" i="3"/>
  <c r="R32" i="3"/>
  <c r="R29" i="3"/>
  <c r="G81" i="1"/>
  <c r="R31" i="3"/>
  <c r="R30" i="1"/>
  <c r="H33" i="3"/>
  <c r="I32" i="3" s="1"/>
  <c r="G53" i="3"/>
  <c r="G56" i="3" s="1"/>
  <c r="G24" i="3"/>
  <c r="Q23" i="3"/>
  <c r="R34" i="1"/>
  <c r="R29" i="1"/>
  <c r="R31" i="1"/>
  <c r="R33" i="1"/>
  <c r="AD32" i="6"/>
  <c r="G25" i="1" l="1"/>
  <c r="G26" i="1" s="1"/>
  <c r="Q19" i="1"/>
  <c r="I31" i="3"/>
  <c r="S31" i="3" s="1"/>
  <c r="I33" i="1"/>
  <c r="I34" i="1"/>
  <c r="I28" i="1"/>
  <c r="S28" i="1" s="1"/>
  <c r="I30" i="1"/>
  <c r="I32" i="1"/>
  <c r="I31" i="1"/>
  <c r="I26" i="3"/>
  <c r="I30" i="3"/>
  <c r="S30" i="3" s="1"/>
  <c r="I27" i="3"/>
  <c r="I28" i="3"/>
  <c r="I29" i="3"/>
  <c r="R28" i="1"/>
  <c r="H78" i="1"/>
  <c r="H76" i="1"/>
  <c r="H77" i="1"/>
  <c r="H79" i="1"/>
  <c r="R33" i="3"/>
  <c r="H84" i="1"/>
  <c r="H72" i="1"/>
  <c r="I90" i="1" s="1"/>
  <c r="H85" i="1"/>
  <c r="H54" i="3"/>
  <c r="H19" i="3" s="1"/>
  <c r="G57" i="3"/>
  <c r="H64" i="1"/>
  <c r="H66" i="1"/>
  <c r="I89" i="1" s="1"/>
  <c r="H68" i="1"/>
  <c r="AE32" i="6"/>
  <c r="G55" i="1" l="1"/>
  <c r="H221" i="2"/>
  <c r="Q26" i="1"/>
  <c r="Q25" i="1"/>
  <c r="H219" i="2"/>
  <c r="V52" i="12"/>
  <c r="V56" i="12" s="1"/>
  <c r="V52" i="10"/>
  <c r="V56" i="10" s="1"/>
  <c r="V52" i="11"/>
  <c r="G58" i="1"/>
  <c r="H225" i="2" s="1"/>
  <c r="V52" i="9"/>
  <c r="S29" i="3"/>
  <c r="S26" i="3"/>
  <c r="S28" i="3"/>
  <c r="I35" i="1"/>
  <c r="I91" i="1"/>
  <c r="H81" i="1"/>
  <c r="H67" i="1"/>
  <c r="H71" i="1"/>
  <c r="H70" i="1"/>
  <c r="H86" i="1"/>
  <c r="H69" i="1"/>
  <c r="H65" i="1"/>
  <c r="R35" i="1"/>
  <c r="H73" i="1"/>
  <c r="S32" i="3"/>
  <c r="S33" i="1"/>
  <c r="S30" i="1"/>
  <c r="I33" i="3"/>
  <c r="S27" i="3"/>
  <c r="R19" i="3"/>
  <c r="H23" i="3"/>
  <c r="S31" i="1"/>
  <c r="S29" i="1"/>
  <c r="S34" i="1"/>
  <c r="AF32" i="6"/>
  <c r="V54" i="12" l="1"/>
  <c r="W51" i="12" s="1"/>
  <c r="V54" i="10"/>
  <c r="W51" i="10" s="1"/>
  <c r="V56" i="11"/>
  <c r="V54" i="11"/>
  <c r="W51" i="11" s="1"/>
  <c r="H224" i="2"/>
  <c r="G59" i="1"/>
  <c r="H223" i="2"/>
  <c r="H56" i="1"/>
  <c r="H19" i="1" s="1"/>
  <c r="R19" i="1" s="1"/>
  <c r="G60" i="1"/>
  <c r="V56" i="9"/>
  <c r="V54" i="9"/>
  <c r="W51" i="9" s="1"/>
  <c r="J29" i="1"/>
  <c r="J33" i="1"/>
  <c r="J28" i="1"/>
  <c r="J34" i="1"/>
  <c r="J32" i="1"/>
  <c r="J30" i="1"/>
  <c r="J31" i="1"/>
  <c r="J32" i="3"/>
  <c r="J31" i="3"/>
  <c r="J30" i="3"/>
  <c r="J29" i="3"/>
  <c r="J26" i="3"/>
  <c r="J27" i="3"/>
  <c r="J28" i="3"/>
  <c r="T28" i="3" s="1"/>
  <c r="I76" i="1"/>
  <c r="I72" i="1"/>
  <c r="J90" i="1" s="1"/>
  <c r="I85" i="1"/>
  <c r="S32" i="1"/>
  <c r="I77" i="1"/>
  <c r="I78" i="1"/>
  <c r="I80" i="1"/>
  <c r="I79" i="1"/>
  <c r="I84" i="1"/>
  <c r="S33" i="3"/>
  <c r="R23" i="3"/>
  <c r="H24" i="3"/>
  <c r="H53" i="3"/>
  <c r="H56" i="3" s="1"/>
  <c r="AG32" i="6"/>
  <c r="I218" i="2" l="1"/>
  <c r="H25" i="1"/>
  <c r="I221" i="2" s="1"/>
  <c r="T27" i="3"/>
  <c r="T29" i="3"/>
  <c r="J35" i="1"/>
  <c r="K30" i="1" s="1"/>
  <c r="T30" i="1"/>
  <c r="I71" i="1"/>
  <c r="I65" i="1"/>
  <c r="I67" i="1"/>
  <c r="S35" i="1"/>
  <c r="I70" i="1"/>
  <c r="I73" i="1"/>
  <c r="I86" i="1"/>
  <c r="I69" i="1"/>
  <c r="I68" i="1"/>
  <c r="I66" i="1"/>
  <c r="J89" i="1" s="1"/>
  <c r="J91" i="1" s="1"/>
  <c r="I64" i="1"/>
  <c r="I81" i="1"/>
  <c r="T29" i="1"/>
  <c r="T31" i="3"/>
  <c r="T32" i="3"/>
  <c r="T26" i="3"/>
  <c r="J33" i="3"/>
  <c r="K28" i="3" s="1"/>
  <c r="T31" i="1"/>
  <c r="T30" i="3"/>
  <c r="I54" i="3"/>
  <c r="I19" i="3" s="1"/>
  <c r="H57" i="3"/>
  <c r="T28" i="1"/>
  <c r="J85" i="1"/>
  <c r="AH32" i="6"/>
  <c r="T33" i="1"/>
  <c r="T34" i="1"/>
  <c r="H55" i="1" l="1"/>
  <c r="H26" i="1"/>
  <c r="R26" i="1"/>
  <c r="R25" i="1"/>
  <c r="I219" i="2"/>
  <c r="K29" i="1"/>
  <c r="U29" i="1" s="1"/>
  <c r="K33" i="1"/>
  <c r="K28" i="1"/>
  <c r="U28" i="1" s="1"/>
  <c r="K31" i="1"/>
  <c r="K34" i="1"/>
  <c r="K32" i="1"/>
  <c r="K31" i="3"/>
  <c r="U31" i="3" s="1"/>
  <c r="K30" i="3"/>
  <c r="U30" i="3" s="1"/>
  <c r="K29" i="3"/>
  <c r="K26" i="3"/>
  <c r="U26" i="3" s="1"/>
  <c r="K32" i="3"/>
  <c r="U32" i="3" s="1"/>
  <c r="K27" i="3"/>
  <c r="U28" i="3"/>
  <c r="J84" i="1"/>
  <c r="J86" i="1" s="1"/>
  <c r="J67" i="1"/>
  <c r="T33" i="3"/>
  <c r="J79" i="1"/>
  <c r="J76" i="1"/>
  <c r="J77" i="1"/>
  <c r="J80" i="1"/>
  <c r="T32" i="1"/>
  <c r="J78" i="1"/>
  <c r="I23" i="3"/>
  <c r="S19" i="3"/>
  <c r="J69" i="1"/>
  <c r="J70" i="1"/>
  <c r="J68" i="1"/>
  <c r="J72" i="1"/>
  <c r="K90" i="1" s="1"/>
  <c r="J71" i="1"/>
  <c r="AI32" i="6"/>
  <c r="J73" i="1"/>
  <c r="T35" i="1"/>
  <c r="J65" i="1"/>
  <c r="J66" i="1"/>
  <c r="K89" i="1" s="1"/>
  <c r="J64" i="1"/>
  <c r="W52" i="11" l="1"/>
  <c r="W54" i="11" s="1"/>
  <c r="X51" i="11" s="1"/>
  <c r="W52" i="12"/>
  <c r="W56" i="11"/>
  <c r="H58" i="1"/>
  <c r="H60" i="1" s="1"/>
  <c r="W52" i="10"/>
  <c r="W52" i="9"/>
  <c r="W56" i="9" s="1"/>
  <c r="K35" i="1"/>
  <c r="K71" i="1" s="1"/>
  <c r="U29" i="3"/>
  <c r="U34" i="1"/>
  <c r="U33" i="1"/>
  <c r="K85" i="1"/>
  <c r="K33" i="3"/>
  <c r="U27" i="3"/>
  <c r="J81" i="1"/>
  <c r="S23" i="3"/>
  <c r="I24" i="3"/>
  <c r="I53" i="3"/>
  <c r="I56" i="3" s="1"/>
  <c r="K91" i="1"/>
  <c r="U31" i="1"/>
  <c r="K77" i="1"/>
  <c r="AJ32" i="6"/>
  <c r="U32" i="1"/>
  <c r="I224" i="2" l="1"/>
  <c r="I225" i="2"/>
  <c r="W56" i="12"/>
  <c r="W54" i="12"/>
  <c r="X51" i="12" s="1"/>
  <c r="I223" i="2"/>
  <c r="I56" i="1"/>
  <c r="I19" i="1" s="1"/>
  <c r="S19" i="1" s="1"/>
  <c r="H59" i="1"/>
  <c r="W56" i="10"/>
  <c r="W54" i="10"/>
  <c r="X51" i="10" s="1"/>
  <c r="W54" i="9"/>
  <c r="X51" i="9" s="1"/>
  <c r="K78" i="1"/>
  <c r="K79" i="1"/>
  <c r="K76" i="1"/>
  <c r="U30" i="1"/>
  <c r="K80" i="1"/>
  <c r="U33" i="3"/>
  <c r="K84" i="1"/>
  <c r="K86" i="1" s="1"/>
  <c r="I57" i="3"/>
  <c r="J54" i="3"/>
  <c r="J19" i="3" s="1"/>
  <c r="K69" i="1"/>
  <c r="K65" i="1"/>
  <c r="K68" i="1"/>
  <c r="U35" i="1"/>
  <c r="K73" i="1"/>
  <c r="K70" i="1"/>
  <c r="K67" i="1"/>
  <c r="K64" i="1"/>
  <c r="K66" i="1"/>
  <c r="AK32" i="6"/>
  <c r="K72" i="1"/>
  <c r="J218" i="2" l="1"/>
  <c r="I25" i="1"/>
  <c r="J221" i="2" s="1"/>
  <c r="I55" i="1"/>
  <c r="J219" i="2"/>
  <c r="S25" i="1"/>
  <c r="S26" i="1"/>
  <c r="I26" i="1"/>
  <c r="K81" i="1"/>
  <c r="J23" i="3"/>
  <c r="T19" i="3"/>
  <c r="T19" i="1" s="1"/>
  <c r="AL32" i="6"/>
  <c r="X52" i="11" l="1"/>
  <c r="X56" i="11" s="1"/>
  <c r="X52" i="12"/>
  <c r="X52" i="9"/>
  <c r="X56" i="9" s="1"/>
  <c r="X52" i="10"/>
  <c r="I58" i="1"/>
  <c r="I60" i="1" s="1"/>
  <c r="J53" i="3"/>
  <c r="J56" i="3" s="1"/>
  <c r="J24" i="3"/>
  <c r="T23" i="3"/>
  <c r="AM32" i="6"/>
  <c r="AM36" i="6" s="1"/>
  <c r="X54" i="11" l="1"/>
  <c r="Y51" i="11" s="1"/>
  <c r="X54" i="9"/>
  <c r="Y51" i="9" s="1"/>
  <c r="X56" i="12"/>
  <c r="X54" i="12"/>
  <c r="Y51" i="12" s="1"/>
  <c r="I59" i="1"/>
  <c r="J224" i="2"/>
  <c r="J225" i="2"/>
  <c r="X56" i="10"/>
  <c r="X54" i="10"/>
  <c r="Y51" i="10" s="1"/>
  <c r="J56" i="1"/>
  <c r="J19" i="1" s="1"/>
  <c r="J25" i="1" s="1"/>
  <c r="J223" i="2"/>
  <c r="K54" i="3"/>
  <c r="K19" i="3" s="1"/>
  <c r="J57" i="3"/>
  <c r="AG36" i="6"/>
  <c r="D36" i="6"/>
  <c r="L36" i="6"/>
  <c r="W36" i="6"/>
  <c r="AA36" i="6"/>
  <c r="U36" i="6"/>
  <c r="V36" i="6"/>
  <c r="Z36" i="6"/>
  <c r="M36" i="6"/>
  <c r="N36" i="6"/>
  <c r="AC36" i="6"/>
  <c r="H36" i="6"/>
  <c r="E36" i="6"/>
  <c r="G36" i="6"/>
  <c r="I36" i="6"/>
  <c r="Q36" i="6"/>
  <c r="P36" i="6"/>
  <c r="Y36" i="6"/>
  <c r="T36" i="6"/>
  <c r="X36" i="6"/>
  <c r="R36" i="6"/>
  <c r="K36" i="6"/>
  <c r="AI36" i="6"/>
  <c r="S36" i="6"/>
  <c r="AE36" i="6"/>
  <c r="F36" i="6"/>
  <c r="O36" i="6"/>
  <c r="AB36" i="6"/>
  <c r="J36" i="6"/>
  <c r="AF36" i="6"/>
  <c r="AD36" i="6"/>
  <c r="AL36" i="6"/>
  <c r="AK36" i="6"/>
  <c r="AJ36" i="6"/>
  <c r="AH36" i="6"/>
  <c r="K218" i="2"/>
  <c r="K23" i="3" l="1"/>
  <c r="U19" i="3"/>
  <c r="U19" i="1" s="1"/>
  <c r="J55" i="1"/>
  <c r="J26" i="1"/>
  <c r="T26" i="1"/>
  <c r="K219" i="2"/>
  <c r="T25" i="1"/>
  <c r="K221" i="2"/>
  <c r="A36" i="6"/>
  <c r="Y52" i="11" l="1"/>
  <c r="Y56" i="11" s="1"/>
  <c r="Y52" i="12"/>
  <c r="Y52" i="9"/>
  <c r="Y56" i="9" s="1"/>
  <c r="Y52" i="10"/>
  <c r="U23" i="3"/>
  <c r="K24" i="3"/>
  <c r="K53" i="3"/>
  <c r="K56" i="3" s="1"/>
  <c r="K57" i="3" s="1"/>
  <c r="J58" i="1"/>
  <c r="J60" i="1" s="1"/>
  <c r="Y54" i="11" l="1"/>
  <c r="Z51" i="11" s="1"/>
  <c r="Y54" i="9"/>
  <c r="Z51" i="9" s="1"/>
  <c r="Y56" i="12"/>
  <c r="Y54" i="12"/>
  <c r="Z51" i="12" s="1"/>
  <c r="Y56" i="10"/>
  <c r="Y54" i="10"/>
  <c r="Z51" i="10" s="1"/>
  <c r="J59" i="1"/>
  <c r="K56" i="1"/>
  <c r="K19" i="1" s="1"/>
  <c r="K224" i="2"/>
  <c r="K223" i="2"/>
  <c r="K225" i="2"/>
  <c r="K25" i="1" l="1"/>
  <c r="Q217" i="2" s="1"/>
  <c r="L218" i="2"/>
  <c r="Q215" i="2" l="1"/>
  <c r="Q216" i="2"/>
  <c r="Q218" i="2" s="1"/>
  <c r="K55" i="1"/>
  <c r="L219" i="2"/>
  <c r="K26" i="1"/>
  <c r="U26" i="1"/>
  <c r="U25" i="1"/>
  <c r="L221" i="2"/>
  <c r="P18" i="2" s="1"/>
  <c r="Z52" i="11" l="1"/>
  <c r="Z56" i="11" s="1"/>
  <c r="Z52" i="12"/>
  <c r="Z52" i="9"/>
  <c r="Z56" i="9" s="1"/>
  <c r="Z52" i="10"/>
  <c r="Q219" i="2"/>
  <c r="K58" i="1"/>
  <c r="K60" i="1" s="1"/>
  <c r="D18" i="2" s="1"/>
  <c r="K18" i="2"/>
  <c r="J18" i="2"/>
  <c r="Z54" i="11" l="1"/>
  <c r="Z54" i="9"/>
  <c r="Z56" i="12"/>
  <c r="Z54" i="12"/>
  <c r="Z56" i="10"/>
  <c r="Z54" i="10"/>
  <c r="M18" i="2"/>
  <c r="K59" i="1"/>
  <c r="L225" i="2"/>
  <c r="L224" i="2"/>
  <c r="C229" i="2" s="1"/>
  <c r="L223" i="2"/>
  <c r="D229" i="2" l="1"/>
  <c r="D230" i="2" s="1"/>
  <c r="P229" i="2"/>
  <c r="E229" i="2" l="1"/>
  <c r="E230" i="2" s="1"/>
  <c r="F229" i="2" l="1"/>
  <c r="F230" i="2" s="1"/>
  <c r="G229" i="2" l="1"/>
  <c r="G230" i="2" s="1"/>
  <c r="H229" i="2" l="1"/>
  <c r="I229" i="2" l="1"/>
  <c r="H230" i="2"/>
  <c r="J229" i="2" l="1"/>
  <c r="I230" i="2"/>
  <c r="K229" i="2" l="1"/>
  <c r="J230" i="2"/>
  <c r="L229" i="2" l="1"/>
  <c r="L230" i="2" s="1"/>
  <c r="K230" i="2"/>
  <c r="M229" i="2" l="1"/>
  <c r="M230" i="2" s="1"/>
  <c r="N229" i="2" l="1"/>
  <c r="O229" i="2" l="1"/>
  <c r="O230" i="2" s="1"/>
  <c r="N230" i="2"/>
  <c r="C23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Management Partners</author>
  </authors>
  <commentList>
    <comment ref="A47" authorId="0" shapeId="0" xr:uid="{00000000-0006-0000-0500-000001000000}">
      <text>
        <r>
          <rPr>
            <b/>
            <sz val="9"/>
            <color indexed="81"/>
            <rFont val="Tahoma"/>
            <family val="2"/>
          </rPr>
          <t>Management Partners:</t>
        </r>
        <r>
          <rPr>
            <sz val="9"/>
            <color indexed="81"/>
            <rFont val="Tahoma"/>
            <family val="2"/>
          </rPr>
          <t xml:space="preserve">
both budget increases and decreases netted out on this line</t>
        </r>
      </text>
    </comment>
    <comment ref="A48" authorId="0" shapeId="0" xr:uid="{00000000-0006-0000-0500-000002000000}">
      <text>
        <r>
          <rPr>
            <b/>
            <sz val="9"/>
            <color indexed="81"/>
            <rFont val="Tahoma"/>
            <family val="2"/>
          </rPr>
          <t>Management Partners:</t>
        </r>
        <r>
          <rPr>
            <sz val="9"/>
            <color indexed="81"/>
            <rFont val="Tahoma"/>
            <family val="2"/>
          </rPr>
          <t xml:space="preserve">
both budget increases and decreases netted out on this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Steele</author>
    <author>Management Partners</author>
  </authors>
  <commentList>
    <comment ref="A24" authorId="0" shapeId="0" xr:uid="{00000000-0006-0000-0600-000001000000}">
      <text>
        <r>
          <rPr>
            <b/>
            <sz val="9"/>
            <color indexed="81"/>
            <rFont val="Tahoma"/>
            <family val="2"/>
          </rPr>
          <t>Jim Steele:</t>
        </r>
        <r>
          <rPr>
            <sz val="9"/>
            <color indexed="81"/>
            <rFont val="Tahoma"/>
            <family val="2"/>
          </rPr>
          <t xml:space="preserve">
Change to
"Federal Tax Loss and/or other Reimbursements".</t>
        </r>
      </text>
    </comment>
    <comment ref="L26" authorId="1" shapeId="0" xr:uid="{00000000-0006-0000-0600-000002000000}">
      <text>
        <r>
          <rPr>
            <b/>
            <sz val="9"/>
            <color indexed="81"/>
            <rFont val="Tahoma"/>
            <family val="2"/>
          </rPr>
          <t>Management Partners:</t>
        </r>
        <r>
          <rPr>
            <sz val="9"/>
            <color indexed="81"/>
            <rFont val="Tahoma"/>
            <family val="2"/>
          </rPr>
          <t xml:space="preserve">
loss compared to No-Recession Forecast</t>
        </r>
      </text>
    </comment>
    <comment ref="A49" authorId="1" shapeId="0" xr:uid="{00000000-0006-0000-0600-000003000000}">
      <text>
        <r>
          <rPr>
            <b/>
            <sz val="9"/>
            <color indexed="81"/>
            <rFont val="Tahoma"/>
            <family val="2"/>
          </rPr>
          <t>Management Partners:</t>
        </r>
        <r>
          <rPr>
            <sz val="9"/>
            <color indexed="81"/>
            <rFont val="Tahoma"/>
            <family val="2"/>
          </rPr>
          <t xml:space="preserve">
both budget increases and decreases netted out on this line</t>
        </r>
      </text>
    </comment>
    <comment ref="A50" authorId="1" shapeId="0" xr:uid="{00000000-0006-0000-0600-000004000000}">
      <text>
        <r>
          <rPr>
            <b/>
            <sz val="9"/>
            <color indexed="81"/>
            <rFont val="Tahoma"/>
            <family val="2"/>
          </rPr>
          <t>Management Partners:</t>
        </r>
        <r>
          <rPr>
            <sz val="9"/>
            <color indexed="81"/>
            <rFont val="Tahoma"/>
            <family val="2"/>
          </rPr>
          <t xml:space="preserve">
budget increases to baseline budget plus any revenue loss loan repayment costs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Management Partners</author>
  </authors>
  <commentList>
    <comment ref="M18" authorId="0" shapeId="0" xr:uid="{00000000-0006-0000-0200-000001000000}">
      <text>
        <r>
          <rPr>
            <b/>
            <sz val="9"/>
            <color indexed="81"/>
            <rFont val="Tahoma"/>
            <family val="2"/>
          </rPr>
          <t>Management Partners:</t>
        </r>
        <r>
          <rPr>
            <sz val="9"/>
            <color indexed="81"/>
            <rFont val="Tahoma"/>
            <family val="2"/>
          </rPr>
          <t xml:space="preserve">
if change in assumptions requires a change in the Revenue Gap chart's vertical axis, this cell says "Rescale!" -- simply click Rescale button below to adjust high and low bounds to best show data, or click Reset button to restore default Excel settngs with the minimum as zero</t>
        </r>
      </text>
    </comment>
    <comment ref="E19" authorId="0" shapeId="0" xr:uid="{00000000-0006-0000-0200-000002000000}">
      <text>
        <r>
          <rPr>
            <b/>
            <sz val="9"/>
            <color indexed="81"/>
            <rFont val="Tahoma"/>
            <family val="2"/>
          </rPr>
          <t>Management Partners:</t>
        </r>
        <r>
          <rPr>
            <sz val="9"/>
            <color indexed="81"/>
            <rFont val="Tahoma"/>
            <family val="2"/>
          </rPr>
          <t xml:space="preserve">
click this button to re-activate freeze-pane settings on each worksheet; Dashboard splits between rows 18 and 19 to create succesive data entry screens if you use PageDown button</t>
        </r>
      </text>
    </comment>
    <comment ref="K20" authorId="0" shapeId="0" xr:uid="{00000000-0006-0000-0200-000003000000}">
      <text>
        <r>
          <rPr>
            <b/>
            <sz val="9"/>
            <color indexed="81"/>
            <rFont val="Tahoma"/>
            <family val="2"/>
          </rPr>
          <t>Management Partners:</t>
        </r>
        <r>
          <rPr>
            <sz val="9"/>
            <color indexed="81"/>
            <rFont val="Tahoma"/>
            <family val="2"/>
          </rPr>
          <t xml:space="preserve">
Note that for purposes of this model, "recession" means significant revenue loss to the city due to an economic downturn, whethere or not that downturn meets the economic definition of a recession (two consecutive quarters of negative GDP growth)</t>
        </r>
      </text>
    </comment>
    <comment ref="D21" authorId="0" shapeId="0" xr:uid="{00000000-0006-0000-0200-000004000000}">
      <text>
        <r>
          <rPr>
            <b/>
            <sz val="9"/>
            <color indexed="81"/>
            <rFont val="Tahoma"/>
            <family val="2"/>
          </rPr>
          <t>Management Partners:</t>
        </r>
        <r>
          <rPr>
            <sz val="9"/>
            <color indexed="81"/>
            <rFont val="Tahoma"/>
            <family val="2"/>
          </rPr>
          <t xml:space="preserve">
this is the reserve goal, not where city happens to start out the forecast</t>
        </r>
      </text>
    </comment>
    <comment ref="H21" authorId="0" shapeId="0" xr:uid="{00000000-0006-0000-0200-000005000000}">
      <text>
        <r>
          <rPr>
            <b/>
            <sz val="9"/>
            <color indexed="81"/>
            <rFont val="Tahoma"/>
            <family val="2"/>
          </rPr>
          <t>Management Partners:</t>
        </r>
        <r>
          <rPr>
            <sz val="9"/>
            <color indexed="81"/>
            <rFont val="Tahoma"/>
            <family val="2"/>
          </rPr>
          <t xml:space="preserve">
This is not percentage change from the prior year, but rather the percentage </t>
        </r>
        <r>
          <rPr>
            <u/>
            <sz val="9"/>
            <color indexed="81"/>
            <rFont val="Tahoma"/>
            <family val="2"/>
          </rPr>
          <t>below</t>
        </r>
        <r>
          <rPr>
            <sz val="9"/>
            <color indexed="81"/>
            <rFont val="Tahoma"/>
            <family val="2"/>
          </rPr>
          <t xml:space="preserve"> the No-Recession forecasted level of growth; for percentage changes from prior year this produces, see right hand side of the Recession Forecast tab</t>
        </r>
      </text>
    </comment>
    <comment ref="D22" authorId="0" shapeId="0" xr:uid="{00000000-0006-0000-0200-000006000000}">
      <text>
        <r>
          <rPr>
            <b/>
            <sz val="9"/>
            <color indexed="81"/>
            <rFont val="Tahoma"/>
            <family val="2"/>
          </rPr>
          <t>Management Partners:</t>
        </r>
        <r>
          <rPr>
            <sz val="9"/>
            <color indexed="81"/>
            <rFont val="Tahoma"/>
            <family val="2"/>
          </rPr>
          <t xml:space="preserve">
enter as negative percentage representing amount below the No-Recession Forecast that TOT will be on an ongoing basis</t>
        </r>
      </text>
    </comment>
    <comment ref="K22" authorId="0" shapeId="0" xr:uid="{00000000-0006-0000-0200-000007000000}">
      <text>
        <r>
          <rPr>
            <b/>
            <sz val="9"/>
            <color indexed="81"/>
            <rFont val="Tahoma"/>
            <family val="2"/>
          </rPr>
          <t>Management Partners:</t>
        </r>
        <r>
          <rPr>
            <sz val="9"/>
            <color indexed="81"/>
            <rFont val="Tahoma"/>
            <family val="2"/>
          </rPr>
          <t xml:space="preserve">
number of years for phase-out from FY21/22 impact (choices are 1-3)</t>
        </r>
      </text>
    </comment>
    <comment ref="L22" authorId="0" shapeId="0" xr:uid="{00000000-0006-0000-0200-000008000000}">
      <text>
        <r>
          <rPr>
            <b/>
            <sz val="9"/>
            <color indexed="81"/>
            <rFont val="Tahoma"/>
            <family val="2"/>
          </rPr>
          <t>Management Partners:</t>
        </r>
        <r>
          <rPr>
            <sz val="9"/>
            <color indexed="81"/>
            <rFont val="Tahoma"/>
            <family val="2"/>
          </rPr>
          <t xml:space="preserve">
columns H-J of this row are for entering options from 0-4, which are explained in text to the right</t>
        </r>
      </text>
    </comment>
    <comment ref="A24" authorId="0" shapeId="0" xr:uid="{00000000-0006-0000-0200-00000D000000}">
      <text>
        <r>
          <rPr>
            <b/>
            <sz val="9"/>
            <color indexed="81"/>
            <rFont val="Tahoma"/>
            <family val="2"/>
          </rPr>
          <t>Management Partners:</t>
        </r>
        <r>
          <rPr>
            <sz val="9"/>
            <color indexed="81"/>
            <rFont val="Tahoma"/>
            <family val="2"/>
          </rPr>
          <t xml:space="preserve">
this shows the impact of budget cuts effective the FY on line 30; the cuts are assumed to be prorata relative to budget, unless D29 is set to a percentage less than 100%, which would shift the budget od cuts away from Safety and to Other servicesthey appear on line 46 of the Recession forecast (netted against any increases)</t>
        </r>
      </text>
    </comment>
    <comment ref="B24" authorId="0" shapeId="0" xr:uid="{00000000-0006-0000-0200-00000E000000}">
      <text>
        <r>
          <rPr>
            <b/>
            <sz val="9"/>
            <color indexed="81"/>
            <rFont val="Tahoma"/>
            <family val="2"/>
          </rPr>
          <t>Management Partners:</t>
        </r>
        <r>
          <rPr>
            <sz val="9"/>
            <color indexed="81"/>
            <rFont val="Tahoma"/>
            <family val="2"/>
          </rPr>
          <t xml:space="preserve">
enter a positive amount in millions to model impact of a budget </t>
        </r>
        <r>
          <rPr>
            <b/>
            <sz val="9"/>
            <color indexed="81"/>
            <rFont val="Tahoma"/>
            <family val="2"/>
          </rPr>
          <t>reduction</t>
        </r>
        <r>
          <rPr>
            <sz val="9"/>
            <color indexed="81"/>
            <rFont val="Tahoma"/>
            <family val="2"/>
          </rPr>
          <t>; title highlights in pink when this cell is activated</t>
        </r>
      </text>
    </comment>
    <comment ref="D24" authorId="0" shapeId="0" xr:uid="{00000000-0006-0000-0200-00000F000000}">
      <text>
        <r>
          <rPr>
            <b/>
            <sz val="9"/>
            <color indexed="81"/>
            <rFont val="Tahoma"/>
            <family val="2"/>
          </rPr>
          <t>Management Partners:</t>
        </r>
        <r>
          <rPr>
            <sz val="9"/>
            <color indexed="81"/>
            <rFont val="Tahoma"/>
            <family val="2"/>
          </rPr>
          <t xml:space="preserve">
FY that cuts begin (assumes July 1)</t>
        </r>
      </text>
    </comment>
    <comment ref="D25" authorId="0" shapeId="0" xr:uid="{00000000-0006-0000-0200-000010000000}">
      <text>
        <r>
          <rPr>
            <b/>
            <sz val="9"/>
            <color indexed="81"/>
            <rFont val="Tahoma"/>
            <family val="2"/>
          </rPr>
          <t>Management Partners:</t>
        </r>
        <r>
          <rPr>
            <sz val="9"/>
            <color indexed="81"/>
            <rFont val="Tahoma"/>
            <family val="2"/>
          </rPr>
          <t xml:space="preserve">
portion of Safety's pro-rata share of cuts that is actually applied to Safety depts; e.g., 100% means Safety pays full prorata share, and 50% means half of Safety's prorata share incurred by Safety, with the remainder assigned to Misc depts; purpose of this factor is to show Misc bearing a larger share of cuts, as might well happen given local priorities; only relevant if cuts are made.</t>
        </r>
      </text>
    </comment>
    <comment ref="D26" authorId="0" shapeId="0" xr:uid="{00000000-0006-0000-0200-000011000000}">
      <text>
        <r>
          <rPr>
            <b/>
            <sz val="9"/>
            <color indexed="81"/>
            <rFont val="Tahoma"/>
            <family val="2"/>
          </rPr>
          <t>Management Partners:</t>
        </r>
        <r>
          <rPr>
            <sz val="9"/>
            <color indexed="81"/>
            <rFont val="Tahoma"/>
            <family val="2"/>
          </rPr>
          <t xml:space="preserve">
this is the portion of budget cut applied to </t>
        </r>
        <r>
          <rPr>
            <u/>
            <sz val="9"/>
            <color indexed="81"/>
            <rFont val="Tahoma"/>
            <family val="2"/>
          </rPr>
          <t>No-Recession</t>
        </r>
        <r>
          <rPr>
            <sz val="9"/>
            <color indexed="81"/>
            <rFont val="Tahoma"/>
            <family val="2"/>
          </rPr>
          <t xml:space="preserve"> forecast (leave at 0% if cuts are to be reflected in Recession Forecast only); 100% of cut is applied to Recession Forecast</t>
        </r>
      </text>
    </comment>
    <comment ref="A28" authorId="0" shapeId="0" xr:uid="{00000000-0006-0000-0200-000012000000}">
      <text>
        <r>
          <rPr>
            <b/>
            <sz val="9"/>
            <color indexed="81"/>
            <rFont val="Tahoma"/>
            <family val="2"/>
          </rPr>
          <t>Management Partners:</t>
        </r>
        <r>
          <rPr>
            <sz val="9"/>
            <color indexed="81"/>
            <rFont val="Tahoma"/>
            <family val="2"/>
          </rPr>
          <t xml:space="preserve">
this shows the impact of budget increases effective the FY on line 32; the increases are not allocated to any particular dept; they appear on line 46 of the Recession forecast (netted against any cuts)</t>
        </r>
      </text>
    </comment>
    <comment ref="B28" authorId="0" shapeId="0" xr:uid="{00000000-0006-0000-0200-000013000000}">
      <text>
        <r>
          <rPr>
            <b/>
            <sz val="9"/>
            <color indexed="81"/>
            <rFont val="Tahoma"/>
            <family val="2"/>
          </rPr>
          <t>Management Partners:</t>
        </r>
        <r>
          <rPr>
            <sz val="9"/>
            <color indexed="81"/>
            <rFont val="Tahoma"/>
            <family val="2"/>
          </rPr>
          <t xml:space="preserve">
enter a positive amount in millions to model impact of an </t>
        </r>
        <r>
          <rPr>
            <b/>
            <sz val="9"/>
            <color indexed="81"/>
            <rFont val="Tahoma"/>
            <family val="2"/>
          </rPr>
          <t>ongoing</t>
        </r>
        <r>
          <rPr>
            <sz val="9"/>
            <color indexed="81"/>
            <rFont val="Tahoma"/>
            <family val="2"/>
          </rPr>
          <t xml:space="preserve"> budget</t>
        </r>
        <r>
          <rPr>
            <b/>
            <sz val="9"/>
            <color indexed="81"/>
            <rFont val="Tahoma"/>
            <family val="2"/>
          </rPr>
          <t xml:space="preserve"> increase</t>
        </r>
        <r>
          <rPr>
            <sz val="9"/>
            <color indexed="81"/>
            <rFont val="Tahoma"/>
            <family val="2"/>
          </rPr>
          <t>; increase is not assigned to a particular department in forecast; title highlights in pink when this cell is activated</t>
        </r>
      </text>
    </comment>
    <comment ref="D28" authorId="0" shapeId="0" xr:uid="{00000000-0006-0000-0200-000014000000}">
      <text>
        <r>
          <rPr>
            <b/>
            <sz val="9"/>
            <color indexed="81"/>
            <rFont val="Tahoma"/>
            <family val="2"/>
          </rPr>
          <t>Management Partners:</t>
        </r>
        <r>
          <rPr>
            <sz val="9"/>
            <color indexed="81"/>
            <rFont val="Tahoma"/>
            <family val="2"/>
          </rPr>
          <t xml:space="preserve">
FY that cuts begin (assumes July 1)</t>
        </r>
      </text>
    </comment>
    <comment ref="A29" authorId="0" shapeId="0" xr:uid="{00000000-0006-0000-0200-000015000000}">
      <text>
        <r>
          <rPr>
            <b/>
            <sz val="9"/>
            <color indexed="81"/>
            <rFont val="Tahoma"/>
            <family val="2"/>
          </rPr>
          <t>Management Partners:</t>
        </r>
        <r>
          <rPr>
            <sz val="9"/>
            <color indexed="81"/>
            <rFont val="Tahoma"/>
            <family val="2"/>
          </rPr>
          <t xml:space="preserve">
this shows the impact of budget increases effective the FY on line 32; the increases are not allocated to any particular dept; they appear on line 46 of the Recession forecast (netted against any cuts)</t>
        </r>
      </text>
    </comment>
    <comment ref="B29" authorId="0" shapeId="0" xr:uid="{00000000-0006-0000-0200-000016000000}">
      <text>
        <r>
          <rPr>
            <b/>
            <sz val="9"/>
            <color indexed="81"/>
            <rFont val="Tahoma"/>
            <family val="2"/>
          </rPr>
          <t>Management Partners:</t>
        </r>
        <r>
          <rPr>
            <sz val="9"/>
            <color indexed="81"/>
            <rFont val="Tahoma"/>
            <family val="2"/>
          </rPr>
          <t xml:space="preserve">
enter a positive amount in millions to model impact of a </t>
        </r>
        <r>
          <rPr>
            <b/>
            <sz val="9"/>
            <color indexed="81"/>
            <rFont val="Tahoma"/>
            <family val="2"/>
          </rPr>
          <t xml:space="preserve">one-time </t>
        </r>
        <r>
          <rPr>
            <sz val="9"/>
            <color indexed="81"/>
            <rFont val="Tahoma"/>
            <family val="2"/>
          </rPr>
          <t>budget</t>
        </r>
        <r>
          <rPr>
            <b/>
            <sz val="9"/>
            <color indexed="81"/>
            <rFont val="Tahoma"/>
            <family val="2"/>
          </rPr>
          <t xml:space="preserve"> increase</t>
        </r>
        <r>
          <rPr>
            <sz val="9"/>
            <color indexed="81"/>
            <rFont val="Tahoma"/>
            <family val="2"/>
          </rPr>
          <t>; increase is not assigned to a particular department in forecast; title highlights in pink when this cell is activated</t>
        </r>
      </text>
    </comment>
    <comment ref="D29" authorId="0" shapeId="0" xr:uid="{00000000-0006-0000-0200-000017000000}">
      <text>
        <r>
          <rPr>
            <b/>
            <sz val="9"/>
            <color indexed="81"/>
            <rFont val="Tahoma"/>
            <family val="2"/>
          </rPr>
          <t>Management Partners:</t>
        </r>
        <r>
          <rPr>
            <sz val="9"/>
            <color indexed="81"/>
            <rFont val="Tahoma"/>
            <family val="2"/>
          </rPr>
          <t xml:space="preserve">
enter a positive amount in millions to model impact of a </t>
        </r>
        <r>
          <rPr>
            <b/>
            <sz val="9"/>
            <color indexed="81"/>
            <rFont val="Tahoma"/>
            <family val="2"/>
          </rPr>
          <t xml:space="preserve">one-time </t>
        </r>
        <r>
          <rPr>
            <sz val="9"/>
            <color indexed="81"/>
            <rFont val="Tahoma"/>
            <family val="2"/>
          </rPr>
          <t>budget</t>
        </r>
        <r>
          <rPr>
            <b/>
            <sz val="9"/>
            <color indexed="81"/>
            <rFont val="Tahoma"/>
            <family val="2"/>
          </rPr>
          <t xml:space="preserve"> increase</t>
        </r>
        <r>
          <rPr>
            <sz val="9"/>
            <color indexed="81"/>
            <rFont val="Tahoma"/>
            <family val="2"/>
          </rPr>
          <t>; increase is not assigned to a particular department in forecast; title highlights in pink when this cell is activated</t>
        </r>
      </text>
    </comment>
    <comment ref="D30" authorId="0" shapeId="0" xr:uid="{00000000-0006-0000-0200-000018000000}">
      <text>
        <r>
          <rPr>
            <b/>
            <sz val="9"/>
            <color indexed="81"/>
            <rFont val="Tahoma"/>
            <family val="2"/>
          </rPr>
          <t>Management Partners:</t>
        </r>
        <r>
          <rPr>
            <sz val="9"/>
            <color indexed="81"/>
            <rFont val="Tahoma"/>
            <family val="2"/>
          </rPr>
          <t xml:space="preserve">
inflation rate used to increase value of avoided costs in the case of cuts, or growth in costs in the case of an increase, per amounts above; see Expenditure section below for growth rates applied to various expenditure types</t>
        </r>
      </text>
    </comment>
    <comment ref="D32" authorId="0" shapeId="0" xr:uid="{00000000-0006-0000-0200-000019000000}">
      <text>
        <r>
          <rPr>
            <b/>
            <sz val="9"/>
            <color indexed="81"/>
            <rFont val="Tahoma"/>
            <family val="2"/>
          </rPr>
          <t>Management Partners:</t>
        </r>
        <r>
          <rPr>
            <sz val="9"/>
            <color indexed="81"/>
            <rFont val="Tahoma"/>
            <family val="2"/>
          </rPr>
          <t xml:space="preserve">
this is the % of revenue loss assumed to be reimbursed by the federal government; it will be capped by the FY in the next row, which is the FY through which losses are assumed to be counted; assumes aid likely to be focused on an initial loss/time period, and that not all losses will be offset; title highlights in pink when cell is activated</t>
        </r>
      </text>
    </comment>
    <comment ref="B34" authorId="0" shapeId="0" xr:uid="{00000000-0006-0000-0200-00001A000000}">
      <text>
        <r>
          <rPr>
            <b/>
            <sz val="9"/>
            <color indexed="81"/>
            <rFont val="Tahoma"/>
            <family val="2"/>
          </rPr>
          <t>Management Partners:</t>
        </r>
        <r>
          <rPr>
            <sz val="9"/>
            <color indexed="81"/>
            <rFont val="Tahoma"/>
            <family val="2"/>
          </rPr>
          <t xml:space="preserve">
enter a positive amount in millions for expected revenue loss loan (federal/state) that would be received in FY20</t>
        </r>
      </text>
    </comment>
    <comment ref="C34" authorId="0" shapeId="0" xr:uid="{00000000-0006-0000-0200-00001B000000}">
      <text>
        <r>
          <rPr>
            <b/>
            <sz val="9"/>
            <color indexed="81"/>
            <rFont val="Tahoma"/>
            <family val="2"/>
          </rPr>
          <t>Management Partners:</t>
        </r>
        <r>
          <rPr>
            <sz val="9"/>
            <color indexed="81"/>
            <rFont val="Tahoma"/>
            <family val="2"/>
          </rPr>
          <t xml:space="preserve">
assumed interest rate for revenue loss loan</t>
        </r>
      </text>
    </comment>
    <comment ref="D34" authorId="0" shapeId="0" xr:uid="{00000000-0006-0000-0200-00001C000000}">
      <text>
        <r>
          <rPr>
            <b/>
            <sz val="9"/>
            <color indexed="81"/>
            <rFont val="Tahoma"/>
            <family val="2"/>
          </rPr>
          <t>Management Partners:</t>
        </r>
        <r>
          <rPr>
            <sz val="9"/>
            <color indexed="81"/>
            <rFont val="Tahoma"/>
            <family val="2"/>
          </rPr>
          <t xml:space="preserve">
term in years over which loan will be repaid, starting in FY21</t>
        </r>
      </text>
    </comment>
    <comment ref="J42" authorId="0" shapeId="0" xr:uid="{00000000-0006-0000-0200-00001D000000}">
      <text>
        <r>
          <rPr>
            <b/>
            <sz val="9"/>
            <color indexed="81"/>
            <rFont val="Tahoma"/>
            <family val="2"/>
          </rPr>
          <t>Management Partners:</t>
        </r>
        <r>
          <rPr>
            <sz val="9"/>
            <color indexed="81"/>
            <rFont val="Tahoma"/>
            <family val="2"/>
          </rPr>
          <t xml:space="preserve">
increase or decrease loss in increments of 10%</t>
        </r>
      </text>
    </comment>
    <comment ref="N42" authorId="0" shapeId="0" xr:uid="{00000000-0006-0000-0200-00001E000000}">
      <text>
        <r>
          <rPr>
            <b/>
            <sz val="9"/>
            <color indexed="81"/>
            <rFont val="Tahoma"/>
            <family val="2"/>
          </rPr>
          <t>Management Partners:</t>
        </r>
        <r>
          <rPr>
            <sz val="9"/>
            <color indexed="81"/>
            <rFont val="Tahoma"/>
            <family val="2"/>
          </rPr>
          <t xml:space="preserve">
increase or decrease loss in increments of 10%</t>
        </r>
      </text>
    </comment>
    <comment ref="AH43" authorId="0" shapeId="0" xr:uid="{00000000-0006-0000-0200-00001F000000}">
      <text>
        <r>
          <rPr>
            <b/>
            <sz val="9"/>
            <color indexed="81"/>
            <rFont val="Tahoma"/>
            <family val="2"/>
          </rPr>
          <t>Management Partners:</t>
        </r>
        <r>
          <rPr>
            <sz val="9"/>
            <color indexed="81"/>
            <rFont val="Tahoma"/>
            <family val="2"/>
          </rPr>
          <t xml:space="preserve">
columns H-J of this row are for entering options from 0-4, which are explained in text to the right</t>
        </r>
      </text>
    </comment>
    <comment ref="AJ43" authorId="0" shapeId="0" xr:uid="{00000000-0006-0000-0200-000020000000}">
      <text>
        <r>
          <rPr>
            <b/>
            <sz val="9"/>
            <color indexed="81"/>
            <rFont val="Tahoma"/>
            <family val="2"/>
          </rPr>
          <t>Management Partners:</t>
        </r>
        <r>
          <rPr>
            <sz val="9"/>
            <color indexed="81"/>
            <rFont val="Tahoma"/>
            <family val="2"/>
          </rPr>
          <t xml:space="preserve">
number of years for phase-out from FY21/22 impact (choices are 1-3)</t>
        </r>
      </text>
    </comment>
    <comment ref="C44" authorId="0" shapeId="0" xr:uid="{00000000-0006-0000-0200-000021000000}">
      <text>
        <r>
          <rPr>
            <b/>
            <sz val="9"/>
            <color indexed="81"/>
            <rFont val="Tahoma"/>
            <family val="2"/>
          </rPr>
          <t>Management Partners:</t>
        </r>
        <r>
          <rPr>
            <sz val="9"/>
            <color indexed="81"/>
            <rFont val="Tahoma"/>
            <family val="2"/>
          </rPr>
          <t xml:space="preserve">
enter % of "severe" for FY20 to define "low", which is least impact</t>
        </r>
      </text>
    </comment>
    <comment ref="D44" authorId="0" shapeId="0" xr:uid="{00000000-0006-0000-0200-000022000000}">
      <text>
        <r>
          <rPr>
            <b/>
            <sz val="9"/>
            <color indexed="81"/>
            <rFont val="Tahoma"/>
            <family val="2"/>
          </rPr>
          <t>Management Partners:</t>
        </r>
        <r>
          <rPr>
            <sz val="9"/>
            <color indexed="81"/>
            <rFont val="Tahoma"/>
            <family val="2"/>
          </rPr>
          <t xml:space="preserve">
enter % of "severe" for FY20 to define "moderate" impact, a step up from low</t>
        </r>
      </text>
    </comment>
    <comment ref="E44" authorId="0" shapeId="0" xr:uid="{00000000-0006-0000-0200-000023000000}">
      <text>
        <r>
          <rPr>
            <b/>
            <sz val="9"/>
            <color indexed="81"/>
            <rFont val="Tahoma"/>
            <family val="2"/>
          </rPr>
          <t>Management Partners:</t>
        </r>
        <r>
          <rPr>
            <sz val="9"/>
            <color indexed="81"/>
            <rFont val="Tahoma"/>
            <family val="2"/>
          </rPr>
          <t xml:space="preserve">
enter % of "severe" for FY20 to define "high" impact, worse than moderate, but not worst case (see severe)</t>
        </r>
      </text>
    </comment>
    <comment ref="G44" authorId="0" shapeId="0" xr:uid="{00000000-0006-0000-0200-000024000000}">
      <text>
        <r>
          <rPr>
            <b/>
            <sz val="9"/>
            <color indexed="81"/>
            <rFont val="Tahoma"/>
            <family val="2"/>
          </rPr>
          <t>Management Partners:</t>
        </r>
        <r>
          <rPr>
            <sz val="9"/>
            <color indexed="81"/>
            <rFont val="Tahoma"/>
            <family val="2"/>
          </rPr>
          <t xml:space="preserve">
enter % of "severe" for FY21 to define "low", which is least impact</t>
        </r>
      </text>
    </comment>
    <comment ref="H44" authorId="0" shapeId="0" xr:uid="{00000000-0006-0000-0200-000025000000}">
      <text>
        <r>
          <rPr>
            <b/>
            <sz val="9"/>
            <color indexed="81"/>
            <rFont val="Tahoma"/>
            <family val="2"/>
          </rPr>
          <t>Management Partners:</t>
        </r>
        <r>
          <rPr>
            <sz val="9"/>
            <color indexed="81"/>
            <rFont val="Tahoma"/>
            <family val="2"/>
          </rPr>
          <t xml:space="preserve">
enter % of "severe" for FY21 to define "moderate" impact, a step up from low</t>
        </r>
      </text>
    </comment>
    <comment ref="I44" authorId="0" shapeId="0" xr:uid="{00000000-0006-0000-0200-000026000000}">
      <text>
        <r>
          <rPr>
            <b/>
            <sz val="9"/>
            <color indexed="81"/>
            <rFont val="Tahoma"/>
            <family val="2"/>
          </rPr>
          <t>Management Partners:</t>
        </r>
        <r>
          <rPr>
            <sz val="9"/>
            <color indexed="81"/>
            <rFont val="Tahoma"/>
            <family val="2"/>
          </rPr>
          <t xml:space="preserve">
enter % of "severe" for FY21 to define "high" impact, worse than moderate, but not worst case (see severe)</t>
        </r>
      </text>
    </comment>
    <comment ref="K44" authorId="0" shapeId="0" xr:uid="{00000000-0006-0000-0200-000027000000}">
      <text>
        <r>
          <rPr>
            <b/>
            <sz val="9"/>
            <color indexed="81"/>
            <rFont val="Tahoma"/>
            <family val="2"/>
          </rPr>
          <t>Management Partners:</t>
        </r>
        <r>
          <rPr>
            <sz val="9"/>
            <color indexed="81"/>
            <rFont val="Tahoma"/>
            <family val="2"/>
          </rPr>
          <t xml:space="preserve">
enter % of "severe" for FY22 to define "low", which is least impact; negative number means recovery starts, as the ABS(of this amount) is added to normal growth for FY22</t>
        </r>
      </text>
    </comment>
    <comment ref="L44" authorId="0" shapeId="0" xr:uid="{00000000-0006-0000-0200-000028000000}">
      <text>
        <r>
          <rPr>
            <b/>
            <sz val="9"/>
            <color indexed="81"/>
            <rFont val="Tahoma"/>
            <family val="2"/>
          </rPr>
          <t>Management Partners:</t>
        </r>
        <r>
          <rPr>
            <sz val="9"/>
            <color indexed="81"/>
            <rFont val="Tahoma"/>
            <family val="2"/>
          </rPr>
          <t xml:space="preserve">
enter % of "severe" for FY22 to define "moderate" impact, a step up from low</t>
        </r>
      </text>
    </comment>
    <comment ref="M44" authorId="0" shapeId="0" xr:uid="{00000000-0006-0000-0200-000029000000}">
      <text>
        <r>
          <rPr>
            <b/>
            <sz val="9"/>
            <color indexed="81"/>
            <rFont val="Tahoma"/>
            <family val="2"/>
          </rPr>
          <t>Management Partners:</t>
        </r>
        <r>
          <rPr>
            <sz val="9"/>
            <color indexed="81"/>
            <rFont val="Tahoma"/>
            <family val="2"/>
          </rPr>
          <t xml:space="preserve">
enter % of "severe" for FY22 to define "high" impact, worse than moderate, but not worst case (see severe)</t>
        </r>
      </text>
    </comment>
    <comment ref="F45" authorId="0" shapeId="0" xr:uid="{00000000-0006-0000-0200-00002A000000}">
      <text>
        <r>
          <rPr>
            <b/>
            <sz val="9"/>
            <color indexed="81"/>
            <rFont val="Tahoma"/>
            <family val="2"/>
          </rPr>
          <t>Management Partners:</t>
        </r>
        <r>
          <rPr>
            <sz val="9"/>
            <color indexed="81"/>
            <rFont val="Tahoma"/>
            <family val="2"/>
          </rPr>
          <t xml:space="preserve">
enter amounts below to define "severe" impact for FY20; the alternate lower impacts are defined by the percents in columns to left on row 42; only change yellow cells</t>
        </r>
      </text>
    </comment>
    <comment ref="J45" authorId="0" shapeId="0" xr:uid="{00000000-0006-0000-0200-00002B000000}">
      <text>
        <r>
          <rPr>
            <b/>
            <sz val="9"/>
            <color indexed="81"/>
            <rFont val="Tahoma"/>
            <family val="2"/>
          </rPr>
          <t>Management Partners:</t>
        </r>
        <r>
          <rPr>
            <sz val="9"/>
            <color indexed="81"/>
            <rFont val="Tahoma"/>
            <family val="2"/>
          </rPr>
          <t xml:space="preserve">
enter amounts below to define "severe" impact for FY21; the alternate lower impacts are defined by the percents in columns to left on row 42; only change yellow cells</t>
        </r>
      </text>
    </comment>
    <comment ref="N45" authorId="0" shapeId="0" xr:uid="{00000000-0006-0000-0200-00002C000000}">
      <text>
        <r>
          <rPr>
            <b/>
            <sz val="9"/>
            <color indexed="81"/>
            <rFont val="Tahoma"/>
            <family val="2"/>
          </rPr>
          <t>Management Partners:</t>
        </r>
        <r>
          <rPr>
            <sz val="9"/>
            <color indexed="81"/>
            <rFont val="Tahoma"/>
            <family val="2"/>
          </rPr>
          <t xml:space="preserve">
enter amounts below to define "severe" impact for FY21; the alternate lower impacts are defined by the percents in columns to left on row 42; only change yellow cells</t>
        </r>
      </text>
    </comment>
    <comment ref="C64" authorId="0" shapeId="0" xr:uid="{00000000-0006-0000-0200-00002D000000}">
      <text>
        <r>
          <rPr>
            <b/>
            <sz val="9"/>
            <color indexed="81"/>
            <rFont val="Tahoma"/>
            <family val="2"/>
          </rPr>
          <t>Management Partners:</t>
        </r>
        <r>
          <rPr>
            <sz val="9"/>
            <color indexed="81"/>
            <rFont val="Tahoma"/>
            <family val="2"/>
          </rPr>
          <t xml:space="preserve">
these are actual amounts</t>
        </r>
      </text>
    </comment>
    <comment ref="D64" authorId="0" shapeId="0" xr:uid="{00000000-0006-0000-0200-00002E000000}">
      <text>
        <r>
          <rPr>
            <b/>
            <sz val="9"/>
            <color indexed="81"/>
            <rFont val="Tahoma"/>
            <family val="2"/>
          </rPr>
          <t>Management Partners:</t>
        </r>
        <r>
          <rPr>
            <sz val="9"/>
            <color indexed="81"/>
            <rFont val="Tahoma"/>
            <family val="2"/>
          </rPr>
          <t xml:space="preserve">
these are actual amounts</t>
        </r>
      </text>
    </comment>
    <comment ref="E64" authorId="0" shapeId="0" xr:uid="{00000000-0006-0000-0200-00002F000000}">
      <text>
        <r>
          <rPr>
            <b/>
            <sz val="9"/>
            <color indexed="81"/>
            <rFont val="Tahoma"/>
            <family val="2"/>
          </rPr>
          <t>Management Partners:</t>
        </r>
        <r>
          <rPr>
            <sz val="9"/>
            <color indexed="81"/>
            <rFont val="Tahoma"/>
            <family val="2"/>
          </rPr>
          <t xml:space="preserve">
this is the budgeted or estimated amount for FY19/20 PRE-RECESSION; the Recession Impact section above will adjust these revenues in the Recession Forecast accordingly</t>
        </r>
      </text>
    </comment>
    <comment ref="F64" authorId="0" shapeId="0" xr:uid="{00000000-0006-0000-0200-000030000000}">
      <text>
        <r>
          <rPr>
            <b/>
            <sz val="9"/>
            <color indexed="81"/>
            <rFont val="Tahoma"/>
            <family val="2"/>
          </rPr>
          <t>Management Partners:</t>
        </r>
        <r>
          <rPr>
            <sz val="9"/>
            <color indexed="81"/>
            <rFont val="Tahoma"/>
            <family val="2"/>
          </rPr>
          <t xml:space="preserve">
this is the budgeted or estimated amount for FY20/21 PRE-RECESSION; the Recession Impact section above will adjust these revenues in the Recession Forecast accordingly</t>
        </r>
      </text>
    </comment>
    <comment ref="G64" authorId="0" shapeId="0" xr:uid="{00000000-0006-0000-0200-000031000000}">
      <text>
        <r>
          <rPr>
            <b/>
            <sz val="9"/>
            <color indexed="81"/>
            <rFont val="Tahoma"/>
            <family val="2"/>
          </rPr>
          <t>Management Partners:</t>
        </r>
        <r>
          <rPr>
            <sz val="9"/>
            <color indexed="81"/>
            <rFont val="Tahoma"/>
            <family val="2"/>
          </rPr>
          <t xml:space="preserve">
this is the average no-recession growth rate for your city starting FY21/22; recession/coronavirus will adjust these growth rates per Recession Impact section above</t>
        </r>
      </text>
    </comment>
    <comment ref="B65" authorId="0" shapeId="0" xr:uid="{00000000-0006-0000-0200-000032000000}">
      <text>
        <r>
          <rPr>
            <b/>
            <sz val="9"/>
            <color indexed="81"/>
            <rFont val="Tahoma"/>
            <family val="2"/>
          </rPr>
          <t>Management Partners:</t>
        </r>
        <r>
          <rPr>
            <sz val="9"/>
            <color indexed="81"/>
            <rFont val="Tahoma"/>
            <family val="2"/>
          </rPr>
          <t xml:space="preserve">
this includes all elements of the property tax, including from the secured and unsecured rolls, amounts from prior years, penalties and interest, and in CA, the vehicle license fee adjustment amount, supplemental roll, pass-through and residual tax increment from the Successor Agency (formerly redevelopment agencies)</t>
        </r>
      </text>
    </comment>
    <comment ref="B66" authorId="0" shapeId="0" xr:uid="{00000000-0006-0000-0200-000033000000}">
      <text>
        <r>
          <rPr>
            <b/>
            <sz val="9"/>
            <color indexed="81"/>
            <rFont val="Tahoma"/>
            <family val="2"/>
          </rPr>
          <t>Management Partners:</t>
        </r>
        <r>
          <rPr>
            <sz val="9"/>
            <color indexed="81"/>
            <rFont val="Tahoma"/>
            <family val="2"/>
          </rPr>
          <t xml:space="preserve">
this category is for the city's share of sales &amp; use tax from the state, which in CA is a uniform 1% rate</t>
        </r>
      </text>
    </comment>
    <comment ref="B68" authorId="0" shapeId="0" xr:uid="{00000000-0006-0000-0200-000034000000}">
      <text>
        <r>
          <rPr>
            <b/>
            <sz val="9"/>
            <color indexed="81"/>
            <rFont val="Tahoma"/>
            <family val="2"/>
          </rPr>
          <t>Management Partners:</t>
        </r>
        <r>
          <rPr>
            <sz val="9"/>
            <color indexed="81"/>
            <rFont val="Tahoma"/>
            <family val="2"/>
          </rPr>
          <t xml:space="preserve">
In states such as CA, this is a locally-imposed sales tax approved by the voters; it is similar to the sales &amp; use tax, but utilizes a different tax base and the tax rate will vary. If your Transaction Tax is considered a General Tax, that is, approved by a majority of voters, include it here even if you record all or part of it in another fund. Including both revenues and expenditures from such a tax in the forecast provides a clearer picture of the City's overall finances, and impact of the recession on tax revenues. If your City considers this a special tax with 2/3 voter approval and you record all of it in another fund, do not include it here.</t>
        </r>
      </text>
    </comment>
    <comment ref="B69" authorId="0" shapeId="0" xr:uid="{00000000-0006-0000-0200-000035000000}">
      <text>
        <r>
          <rPr>
            <b/>
            <sz val="9"/>
            <color indexed="81"/>
            <rFont val="Tahoma"/>
            <family val="2"/>
          </rPr>
          <t>Management Partners:</t>
        </r>
        <r>
          <rPr>
            <sz val="9"/>
            <color indexed="81"/>
            <rFont val="Tahoma"/>
            <family val="2"/>
          </rPr>
          <t xml:space="preserve">
this category is for a tax on ulility services such as gas, electric, cable, wired or wireless communications, water or other local utilities</t>
        </r>
      </text>
    </comment>
    <comment ref="B70" authorId="0" shapeId="0" xr:uid="{00000000-0006-0000-0200-000036000000}">
      <text>
        <r>
          <rPr>
            <b/>
            <sz val="9"/>
            <color indexed="81"/>
            <rFont val="Tahoma"/>
            <family val="2"/>
          </rPr>
          <t>Management Partners:</t>
        </r>
        <r>
          <rPr>
            <sz val="9"/>
            <color indexed="81"/>
            <rFont val="Tahoma"/>
            <family val="2"/>
          </rPr>
          <t xml:space="preserve">
this category is for an annual, tax, license of fee imposed on local businesses</t>
        </r>
      </text>
    </comment>
    <comment ref="B71" authorId="0" shapeId="0" xr:uid="{00000000-0006-0000-0200-000037000000}">
      <text>
        <r>
          <rPr>
            <b/>
            <sz val="9"/>
            <color indexed="81"/>
            <rFont val="Tahoma"/>
            <family val="2"/>
          </rPr>
          <t>Management Partners:</t>
        </r>
        <r>
          <rPr>
            <sz val="9"/>
            <color indexed="81"/>
            <rFont val="Tahoma"/>
            <family val="2"/>
          </rPr>
          <t xml:space="preserve">
this category is for a hotel tax applied to temporary (transient) lodging at hotels or private residences under Airbnb or other such programs/apps</t>
        </r>
      </text>
    </comment>
    <comment ref="B72" authorId="0" shapeId="0" xr:uid="{00000000-0006-0000-0200-000038000000}">
      <text>
        <r>
          <rPr>
            <b/>
            <sz val="9"/>
            <color indexed="81"/>
            <rFont val="Tahoma"/>
            <family val="2"/>
          </rPr>
          <t>Management Partners:</t>
        </r>
        <r>
          <rPr>
            <sz val="9"/>
            <color indexed="81"/>
            <rFont val="Tahoma"/>
            <family val="2"/>
          </rPr>
          <t xml:space="preserve">
this category is for a real property transfer tax, or documentary transfer tax</t>
        </r>
      </text>
    </comment>
    <comment ref="B73" authorId="0" shapeId="0" xr:uid="{00000000-0006-0000-0200-000039000000}">
      <text>
        <r>
          <rPr>
            <b/>
            <sz val="9"/>
            <color indexed="81"/>
            <rFont val="Tahoma"/>
            <family val="2"/>
          </rPr>
          <t>Management Partners:</t>
        </r>
        <r>
          <rPr>
            <sz val="9"/>
            <color indexed="81"/>
            <rFont val="Tahoma"/>
            <family val="2"/>
          </rPr>
          <t xml:space="preserve">
this category includes payments under franchises granted by the city for use of the public right of way, such as gas, electric, solid waste, cable tv, pipelines, etc.</t>
        </r>
      </text>
    </comment>
    <comment ref="B74" authorId="0" shapeId="0" xr:uid="{00000000-0006-0000-0200-00003A000000}">
      <text>
        <r>
          <rPr>
            <b/>
            <sz val="9"/>
            <color indexed="81"/>
            <rFont val="Tahoma"/>
            <family val="2"/>
          </rPr>
          <t>Management Partners:</t>
        </r>
        <r>
          <rPr>
            <sz val="9"/>
            <color indexed="81"/>
            <rFont val="Tahoma"/>
            <family val="2"/>
          </rPr>
          <t xml:space="preserve">
this category includes all other taxes booked to the General Fund</t>
        </r>
      </text>
    </comment>
    <comment ref="B75" authorId="0" shapeId="0" xr:uid="{00000000-0006-0000-0200-00003B000000}">
      <text>
        <r>
          <rPr>
            <b/>
            <sz val="9"/>
            <color indexed="81"/>
            <rFont val="Tahoma"/>
            <family val="2"/>
          </rPr>
          <t>Management Partners:</t>
        </r>
        <r>
          <rPr>
            <sz val="9"/>
            <color indexed="81"/>
            <rFont val="Tahoma"/>
            <family val="2"/>
          </rPr>
          <t xml:space="preserve">
this category includes revenues from the federal, state, conty and other agencies that is booked to the General Fund</t>
        </r>
      </text>
    </comment>
    <comment ref="B76" authorId="0" shapeId="0" xr:uid="{00000000-0006-0000-0200-00003C000000}">
      <text>
        <r>
          <rPr>
            <b/>
            <sz val="9"/>
            <color indexed="81"/>
            <rFont val="Tahoma"/>
            <family val="2"/>
          </rPr>
          <t>Management Partners:</t>
        </r>
        <r>
          <rPr>
            <sz val="9"/>
            <color indexed="81"/>
            <rFont val="Tahoma"/>
            <family val="2"/>
          </rPr>
          <t xml:space="preserve">
this category includes parking fines, parking meters, moving violations, and other administrative citations</t>
        </r>
      </text>
    </comment>
    <comment ref="B77" authorId="0" shapeId="0" xr:uid="{00000000-0006-0000-0200-00003D000000}">
      <text>
        <r>
          <rPr>
            <b/>
            <sz val="9"/>
            <color indexed="81"/>
            <rFont val="Tahoma"/>
            <family val="2"/>
          </rPr>
          <t>Management Partners:</t>
        </r>
        <r>
          <rPr>
            <sz val="9"/>
            <color indexed="81"/>
            <rFont val="Tahoma"/>
            <family val="2"/>
          </rPr>
          <t xml:space="preserve">
this category is primarily building permits, and misc licenses; the Business License Tax is a separate category above</t>
        </r>
      </text>
    </comment>
    <comment ref="B78" authorId="0" shapeId="0" xr:uid="{00000000-0006-0000-0200-00003E000000}">
      <text>
        <r>
          <rPr>
            <b/>
            <sz val="9"/>
            <color indexed="81"/>
            <rFont val="Tahoma"/>
            <family val="2"/>
          </rPr>
          <t>Management Partners:</t>
        </r>
        <r>
          <rPr>
            <sz val="9"/>
            <color indexed="81"/>
            <rFont val="Tahoma"/>
            <family val="2"/>
          </rPr>
          <t xml:space="preserve">
this category is planning, plan check, subdivision and other such fees</t>
        </r>
      </text>
    </comment>
    <comment ref="B79" authorId="0" shapeId="0" xr:uid="{00000000-0006-0000-0200-00003F000000}">
      <text>
        <r>
          <rPr>
            <b/>
            <sz val="9"/>
            <color indexed="81"/>
            <rFont val="Tahoma"/>
            <family val="2"/>
          </rPr>
          <t>Management Partners:</t>
        </r>
        <r>
          <rPr>
            <sz val="9"/>
            <color indexed="81"/>
            <rFont val="Tahoma"/>
            <family val="2"/>
          </rPr>
          <t xml:space="preserve">
this category is park, recreation, leisure, cultural and library fees</t>
        </r>
      </text>
    </comment>
    <comment ref="B80" authorId="0" shapeId="0" xr:uid="{00000000-0006-0000-0200-000040000000}">
      <text>
        <r>
          <rPr>
            <b/>
            <sz val="9"/>
            <color indexed="81"/>
            <rFont val="Tahoma"/>
            <family val="2"/>
          </rPr>
          <t>Management Partners:</t>
        </r>
        <r>
          <rPr>
            <sz val="9"/>
            <color indexed="81"/>
            <rFont val="Tahoma"/>
            <family val="2"/>
          </rPr>
          <t xml:space="preserve">
this category is all other fees, place rents and concessions</t>
        </r>
      </text>
    </comment>
    <comment ref="B81" authorId="0" shapeId="0" xr:uid="{00000000-0006-0000-0200-000041000000}">
      <text>
        <r>
          <rPr>
            <b/>
            <sz val="9"/>
            <color indexed="81"/>
            <rFont val="Tahoma"/>
            <family val="2"/>
          </rPr>
          <t>Management Partners:</t>
        </r>
        <r>
          <rPr>
            <sz val="9"/>
            <color indexed="81"/>
            <rFont val="Tahoma"/>
            <family val="2"/>
          </rPr>
          <t xml:space="preserve">
this category is interest earnings; in future years interest is based on fund balance levels, so other use of money and property (rentals, etc.) go in the previous line</t>
        </r>
      </text>
    </comment>
    <comment ref="G81" authorId="0" shapeId="0" xr:uid="{00000000-0006-0000-0200-000042000000}">
      <text>
        <r>
          <rPr>
            <b/>
            <sz val="9"/>
            <color indexed="81"/>
            <rFont val="Tahoma"/>
            <family val="2"/>
          </rPr>
          <t>Management Partners:</t>
        </r>
        <r>
          <rPr>
            <sz val="9"/>
            <color indexed="81"/>
            <rFont val="Tahoma"/>
            <family val="2"/>
          </rPr>
          <t xml:space="preserve">
growth based on fund balance</t>
        </r>
      </text>
    </comment>
    <comment ref="B82" authorId="0" shapeId="0" xr:uid="{00000000-0006-0000-0200-000043000000}">
      <text>
        <r>
          <rPr>
            <b/>
            <sz val="9"/>
            <color indexed="81"/>
            <rFont val="Tahoma"/>
            <family val="2"/>
          </rPr>
          <t>Management Partners:</t>
        </r>
        <r>
          <rPr>
            <sz val="9"/>
            <color indexed="81"/>
            <rFont val="Tahoma"/>
            <family val="2"/>
          </rPr>
          <t xml:space="preserve">
this category is for cost allocation plan and other interfund charges</t>
        </r>
      </text>
    </comment>
    <comment ref="B83" authorId="0" shapeId="0" xr:uid="{00000000-0006-0000-0200-000044000000}">
      <text>
        <r>
          <rPr>
            <b/>
            <sz val="9"/>
            <color indexed="81"/>
            <rFont val="Tahoma"/>
            <family val="2"/>
          </rPr>
          <t>Management Partners:</t>
        </r>
        <r>
          <rPr>
            <sz val="9"/>
            <color indexed="81"/>
            <rFont val="Tahoma"/>
            <family val="2"/>
          </rPr>
          <t xml:space="preserve">
this category is all other revenue except transfers in</t>
        </r>
      </text>
    </comment>
    <comment ref="B84" authorId="0" shapeId="0" xr:uid="{00000000-0006-0000-0200-000045000000}">
      <text>
        <r>
          <rPr>
            <b/>
            <sz val="9"/>
            <color indexed="81"/>
            <rFont val="Tahoma"/>
            <family val="2"/>
          </rPr>
          <t>Management Partners:</t>
        </r>
        <r>
          <rPr>
            <sz val="9"/>
            <color indexed="81"/>
            <rFont val="Tahoma"/>
            <family val="2"/>
          </rPr>
          <t xml:space="preserve">
this category is transfers in from any other fund to the General Fund</t>
        </r>
      </text>
    </comment>
    <comment ref="C92" authorId="0" shapeId="0" xr:uid="{00000000-0006-0000-0200-000046000000}">
      <text>
        <r>
          <rPr>
            <b/>
            <sz val="9"/>
            <color indexed="81"/>
            <rFont val="Tahoma"/>
            <family val="2"/>
          </rPr>
          <t>Management Partners:</t>
        </r>
        <r>
          <rPr>
            <sz val="9"/>
            <color indexed="81"/>
            <rFont val="Tahoma"/>
            <family val="2"/>
          </rPr>
          <t xml:space="preserve">
these are actual amounts</t>
        </r>
      </text>
    </comment>
    <comment ref="D92" authorId="0" shapeId="0" xr:uid="{00000000-0006-0000-0200-000047000000}">
      <text>
        <r>
          <rPr>
            <b/>
            <sz val="9"/>
            <color indexed="81"/>
            <rFont val="Tahoma"/>
            <family val="2"/>
          </rPr>
          <t>Management Partners:</t>
        </r>
        <r>
          <rPr>
            <sz val="9"/>
            <color indexed="81"/>
            <rFont val="Tahoma"/>
            <family val="2"/>
          </rPr>
          <t xml:space="preserve">
these are actual amounts</t>
        </r>
      </text>
    </comment>
    <comment ref="E92" authorId="0" shapeId="0" xr:uid="{00000000-0006-0000-0200-000048000000}">
      <text>
        <r>
          <rPr>
            <b/>
            <sz val="9"/>
            <color indexed="81"/>
            <rFont val="Tahoma"/>
            <family val="2"/>
          </rPr>
          <t>Management Partners:</t>
        </r>
        <r>
          <rPr>
            <sz val="9"/>
            <color indexed="81"/>
            <rFont val="Tahoma"/>
            <family val="2"/>
          </rPr>
          <t xml:space="preserve">
these are actual amounts</t>
        </r>
      </text>
    </comment>
    <comment ref="B93" authorId="0" shapeId="0" xr:uid="{00000000-0006-0000-0200-000049000000}">
      <text>
        <r>
          <rPr>
            <b/>
            <sz val="9"/>
            <color indexed="81"/>
            <rFont val="Tahoma"/>
            <family val="2"/>
          </rPr>
          <t>Management Partners:</t>
        </r>
        <r>
          <rPr>
            <sz val="9"/>
            <color indexed="81"/>
            <rFont val="Tahoma"/>
            <family val="2"/>
          </rPr>
          <t xml:space="preserve">
This should be spendable only, including unassigned balance, emergency and economic uncertainty reserves, and all assigned amounts that are not otherwise contractually obligated.  If you have a Transaction Tax which is considered a General Tax, that is, approved by a majority of voters, and you record it in another fund, then include the balance of that other fund here. Including both revenues and expenditures (and balance) from such a tax in the forecast provides a clearer picture of the City's overall finances, and impact of the recession on tax revenues. If your City considers this a special tax with 2/3 voter approval and you record all of it in another fund, do not include it here.</t>
        </r>
      </text>
    </comment>
    <comment ref="J93" authorId="0" shapeId="0" xr:uid="{00000000-0006-0000-0200-00004A000000}">
      <text>
        <r>
          <rPr>
            <b/>
            <sz val="9"/>
            <color indexed="81"/>
            <rFont val="Tahoma"/>
            <family val="2"/>
          </rPr>
          <t>Management Partners:</t>
        </r>
        <r>
          <rPr>
            <sz val="9"/>
            <color indexed="81"/>
            <rFont val="Tahoma"/>
            <family val="2"/>
          </rPr>
          <t xml:space="preserve">
these are actual amounts</t>
        </r>
      </text>
    </comment>
    <comment ref="K93" authorId="0" shapeId="0" xr:uid="{00000000-0006-0000-0200-00004B000000}">
      <text>
        <r>
          <rPr>
            <b/>
            <sz val="9"/>
            <color indexed="81"/>
            <rFont val="Tahoma"/>
            <family val="2"/>
          </rPr>
          <t>Management Partners:</t>
        </r>
        <r>
          <rPr>
            <sz val="9"/>
            <color indexed="81"/>
            <rFont val="Tahoma"/>
            <family val="2"/>
          </rPr>
          <t xml:space="preserve">
these are actual amounts</t>
        </r>
      </text>
    </comment>
    <comment ref="L93" authorId="0" shapeId="0" xr:uid="{00000000-0006-0000-0200-00004C000000}">
      <text>
        <r>
          <rPr>
            <b/>
            <sz val="9"/>
            <color indexed="81"/>
            <rFont val="Tahoma"/>
            <family val="2"/>
          </rPr>
          <t>Management Partners:</t>
        </r>
        <r>
          <rPr>
            <sz val="9"/>
            <color indexed="81"/>
            <rFont val="Tahoma"/>
            <family val="2"/>
          </rPr>
          <t xml:space="preserve">
these are amended City budget or staff estimates of amounts BEFORE impact of any coronavirus/recession</t>
        </r>
      </text>
    </comment>
    <comment ref="M93" authorId="0" shapeId="0" xr:uid="{00000000-0006-0000-0200-00004D000000}">
      <text>
        <r>
          <rPr>
            <b/>
            <sz val="9"/>
            <color indexed="81"/>
            <rFont val="Tahoma"/>
            <family val="2"/>
          </rPr>
          <t>Management Partners:</t>
        </r>
        <r>
          <rPr>
            <sz val="9"/>
            <color indexed="81"/>
            <rFont val="Tahoma"/>
            <family val="2"/>
          </rPr>
          <t xml:space="preserve">
if agency has an adopted budget for FY21, enter that here; if there is no adopted budget, you can use an estimate (and enter it here), or you can set F92 to 1 and generate a FY21 budget using the model's growth rates applied to FY20 as a base</t>
        </r>
      </text>
    </comment>
    <comment ref="N93" authorId="0" shapeId="0" xr:uid="{00000000-0006-0000-0200-00004E000000}">
      <text>
        <r>
          <rPr>
            <b/>
            <sz val="9"/>
            <color indexed="81"/>
            <rFont val="Tahoma"/>
            <family val="2"/>
          </rPr>
          <t>Management Partners:</t>
        </r>
        <r>
          <rPr>
            <sz val="9"/>
            <color indexed="81"/>
            <rFont val="Tahoma"/>
            <family val="2"/>
          </rPr>
          <t xml:space="preserve">
these amounts are generated by the numbers in column N, and are allocated by department in proportion to their allocation in FY20; the amounts in column N are used if the variable in F92 is set to 0, but if F92 is set to 1, then the expenditure amounts in both the No-Recession and Recession forecasts will generate FY21 amounts using the growth rate factors selected below</t>
        </r>
      </text>
    </comment>
    <comment ref="F94" authorId="0" shapeId="0" xr:uid="{00000000-0006-0000-0200-00004F000000}">
      <text>
        <r>
          <rPr>
            <b/>
            <sz val="9"/>
            <color indexed="81"/>
            <rFont val="Tahoma"/>
            <family val="2"/>
          </rPr>
          <t>Management Partners:</t>
        </r>
        <r>
          <rPr>
            <sz val="9"/>
            <color indexed="81"/>
            <rFont val="Tahoma"/>
            <family val="2"/>
          </rPr>
          <t xml:space="preserve">
0=use FY21 budget amounts entered in columns F and M of this section; 1=use growth calculations in columns G and N of this section</t>
        </r>
      </text>
    </comment>
    <comment ref="B97" authorId="0" shapeId="0" xr:uid="{00000000-0006-0000-0200-000050000000}">
      <text>
        <r>
          <rPr>
            <b/>
            <sz val="9"/>
            <color indexed="81"/>
            <rFont val="Tahoma"/>
            <family val="2"/>
          </rPr>
          <t>Management Partners:</t>
        </r>
        <r>
          <rPr>
            <sz val="9"/>
            <color indexed="81"/>
            <rFont val="Tahoma"/>
            <family val="2"/>
          </rPr>
          <t xml:space="preserve">
If you have a Transaction Tax which is considered a General Tax, that is, approved by a majority of voters, include the expenditures from that tax here, even if you record all or part of it in another fund. Including both revenues and expenditures from such a tax in the forecast provides a clearer picture of the City's overall finances, and impact of the recession on tax revenues. If your City considers this a special tax with 2/3 voter approval and you record all of it in another fund, do not include it here.</t>
        </r>
      </text>
    </comment>
    <comment ref="C97" authorId="0" shapeId="0" xr:uid="{00000000-0006-0000-0200-000051000000}">
      <text>
        <r>
          <rPr>
            <b/>
            <sz val="9"/>
            <color indexed="81"/>
            <rFont val="Tahoma"/>
            <family val="2"/>
          </rPr>
          <t>Management Partners:</t>
        </r>
        <r>
          <rPr>
            <sz val="9"/>
            <color indexed="81"/>
            <rFont val="Tahoma"/>
            <family val="2"/>
          </rPr>
          <t xml:space="preserve">
these are actual amounts</t>
        </r>
      </text>
    </comment>
    <comment ref="D97" authorId="0" shapeId="0" xr:uid="{00000000-0006-0000-0200-000052000000}">
      <text>
        <r>
          <rPr>
            <b/>
            <sz val="9"/>
            <color indexed="81"/>
            <rFont val="Tahoma"/>
            <family val="2"/>
          </rPr>
          <t>Management Partners:</t>
        </r>
        <r>
          <rPr>
            <sz val="9"/>
            <color indexed="81"/>
            <rFont val="Tahoma"/>
            <family val="2"/>
          </rPr>
          <t xml:space="preserve">
these are actual amounts</t>
        </r>
      </text>
    </comment>
    <comment ref="E97" authorId="0" shapeId="0" xr:uid="{00000000-0006-0000-0200-000053000000}">
      <text>
        <r>
          <rPr>
            <b/>
            <sz val="9"/>
            <color indexed="81"/>
            <rFont val="Tahoma"/>
            <family val="2"/>
          </rPr>
          <t>Management Partners:</t>
        </r>
        <r>
          <rPr>
            <sz val="9"/>
            <color indexed="81"/>
            <rFont val="Tahoma"/>
            <family val="2"/>
          </rPr>
          <t xml:space="preserve">
these are amended City budget or staff estimates of expenditures</t>
        </r>
      </text>
    </comment>
    <comment ref="F97" authorId="0" shapeId="0" xr:uid="{00000000-0006-0000-0200-000054000000}">
      <text>
        <r>
          <rPr>
            <b/>
            <sz val="9"/>
            <color indexed="81"/>
            <rFont val="Tahoma"/>
            <family val="2"/>
          </rPr>
          <t>Management Partners:</t>
        </r>
        <r>
          <rPr>
            <sz val="9"/>
            <color indexed="81"/>
            <rFont val="Tahoma"/>
            <family val="2"/>
          </rPr>
          <t xml:space="preserve">
if agency has an adopted budget for FY21, enter that here; if there is no adopted budget, you can use an estimate (and enter it here), or you can set F92 to 1 and generate a FY21 budget using the model's growth rates applied to FY20 as a base</t>
        </r>
      </text>
    </comment>
    <comment ref="G97" authorId="0" shapeId="0" xr:uid="{00000000-0006-0000-0200-000055000000}">
      <text>
        <r>
          <rPr>
            <b/>
            <sz val="9"/>
            <color indexed="81"/>
            <rFont val="Tahoma"/>
            <family val="2"/>
          </rPr>
          <t>Management Partners:</t>
        </r>
        <r>
          <rPr>
            <sz val="9"/>
            <color indexed="81"/>
            <rFont val="Tahoma"/>
            <family val="2"/>
          </rPr>
          <t xml:space="preserve">
these amounts are generated by the numbers in column N, and are allocated by department in proportion to their allocation in FY20; the amounts in column N are used if the variable in F92 is set to 0, but if F92 is set to 1, then the expenditure amounts in both the No-Recession and Recession forecasts will generate FY21 amounts using the growth rate factors selected below</t>
        </r>
      </text>
    </comment>
    <comment ref="B98" authorId="0" shapeId="0" xr:uid="{00000000-0006-0000-0200-000056000000}">
      <text>
        <r>
          <rPr>
            <b/>
            <sz val="9"/>
            <color indexed="81"/>
            <rFont val="Tahoma"/>
            <family val="2"/>
          </rPr>
          <t>Management Partners:</t>
        </r>
        <r>
          <rPr>
            <sz val="9"/>
            <color indexed="81"/>
            <rFont val="Tahoma"/>
            <family val="2"/>
          </rPr>
          <t xml:space="preserve">
includes Council, City Manager, Finance/Administrative Services, Human Resources</t>
        </r>
      </text>
    </comment>
    <comment ref="B102" authorId="0" shapeId="0" xr:uid="{00000000-0006-0000-0200-000057000000}">
      <text>
        <r>
          <rPr>
            <b/>
            <sz val="9"/>
            <color indexed="81"/>
            <rFont val="Tahoma"/>
            <family val="2"/>
          </rPr>
          <t>Management Partners:</t>
        </r>
        <r>
          <rPr>
            <sz val="9"/>
            <color indexed="81"/>
            <rFont val="Tahoma"/>
            <family val="2"/>
          </rPr>
          <t xml:space="preserve">
includes library, if this service is provided by the City</t>
        </r>
      </text>
    </comment>
    <comment ref="N103" authorId="0" shapeId="0" xr:uid="{00000000-0006-0000-0200-000058000000}">
      <text>
        <r>
          <rPr>
            <b/>
            <sz val="9"/>
            <color indexed="81"/>
            <rFont val="Tahoma"/>
            <family val="2"/>
          </rPr>
          <t>Management Partners:</t>
        </r>
        <r>
          <rPr>
            <sz val="9"/>
            <color indexed="81"/>
            <rFont val="Tahoma"/>
            <family val="2"/>
          </rPr>
          <t xml:space="preserve">
does not use growth factor; uses budget for FY20/21 from Data Worksheet</t>
        </r>
      </text>
    </comment>
    <comment ref="N104" authorId="0" shapeId="0" xr:uid="{00000000-0006-0000-0200-000059000000}">
      <text>
        <r>
          <rPr>
            <b/>
            <sz val="9"/>
            <color indexed="81"/>
            <rFont val="Tahoma"/>
            <family val="2"/>
          </rPr>
          <t>Management Partners:</t>
        </r>
        <r>
          <rPr>
            <sz val="9"/>
            <color indexed="81"/>
            <rFont val="Tahoma"/>
            <family val="2"/>
          </rPr>
          <t xml:space="preserve">
does not use growth factor; uses budget for FY20/21 from Data Worksheet</t>
        </r>
      </text>
    </comment>
    <comment ref="B105" authorId="0" shapeId="0" xr:uid="{00000000-0006-0000-0200-00005A000000}">
      <text>
        <r>
          <rPr>
            <b/>
            <sz val="9"/>
            <color indexed="81"/>
            <rFont val="Tahoma"/>
            <family val="2"/>
          </rPr>
          <t>Management Partners:</t>
        </r>
        <r>
          <rPr>
            <sz val="9"/>
            <color indexed="81"/>
            <rFont val="Tahoma"/>
            <family val="2"/>
          </rPr>
          <t xml:space="preserve">
this category may include transfers out, debt service and capital improvements as well as other expenditures not incurred by individual departments</t>
        </r>
      </text>
    </comment>
    <comment ref="C110" authorId="0" shapeId="0" xr:uid="{00000000-0006-0000-0200-00005B000000}">
      <text>
        <r>
          <rPr>
            <b/>
            <sz val="9"/>
            <color indexed="81"/>
            <rFont val="Tahoma"/>
            <family val="2"/>
          </rPr>
          <t>Management Partners:</t>
        </r>
        <r>
          <rPr>
            <sz val="9"/>
            <color indexed="81"/>
            <rFont val="Tahoma"/>
            <family val="2"/>
          </rPr>
          <t xml:space="preserve">
select 0 for single percentage growth rate, or 1 to use Alternate Growth Factors below (if 1 is used, be sure that section has appropriate % or $ amounts entered and are not left as zeroes)</t>
        </r>
      </text>
    </comment>
    <comment ref="C111" authorId="0" shapeId="0" xr:uid="{00000000-0006-0000-0200-00005C000000}">
      <text>
        <r>
          <rPr>
            <b/>
            <sz val="9"/>
            <color indexed="81"/>
            <rFont val="Tahoma"/>
            <family val="2"/>
          </rPr>
          <t>Management Partners:</t>
        </r>
        <r>
          <rPr>
            <sz val="9"/>
            <color indexed="81"/>
            <rFont val="Tahoma"/>
            <family val="2"/>
          </rPr>
          <t xml:space="preserve">
0=use single percentage growth factor (see above), or 1=use growth rate by Police/Fire/Misc (see below); depending on selection, the other values are grayed out (not applicable)</t>
        </r>
      </text>
    </comment>
    <comment ref="H111" authorId="0" shapeId="0" xr:uid="{00000000-0006-0000-0200-00005D000000}">
      <text>
        <r>
          <rPr>
            <b/>
            <sz val="9"/>
            <color indexed="81"/>
            <rFont val="Tahoma"/>
            <family val="2"/>
          </rPr>
          <t>Management Partners:</t>
        </r>
        <r>
          <rPr>
            <sz val="9"/>
            <color indexed="81"/>
            <rFont val="Tahoma"/>
            <family val="2"/>
          </rPr>
          <t xml:space="preserve">
this category includes salaries, and incentive/add-pays (longevity pay, education incentives and other payments that are a percentage of base pay); part-time wages are excluded as they go in the next line; these are amounts that are pensionable income</t>
        </r>
      </text>
    </comment>
    <comment ref="H112" authorId="0" shapeId="0" xr:uid="{00000000-0006-0000-0200-00005E000000}">
      <text>
        <r>
          <rPr>
            <b/>
            <sz val="9"/>
            <color indexed="81"/>
            <rFont val="Tahoma"/>
            <family val="2"/>
          </rPr>
          <t>Management Partners:</t>
        </r>
        <r>
          <rPr>
            <sz val="9"/>
            <color indexed="81"/>
            <rFont val="Tahoma"/>
            <family val="2"/>
          </rPr>
          <t xml:space="preserve">
this category includes overtime/FLSA/call-back and stand-by pay, as well as part-time wages; these are not pensionable</t>
        </r>
      </text>
    </comment>
    <comment ref="C113" authorId="0" shapeId="0" xr:uid="{00000000-0006-0000-0200-00005F000000}">
      <text>
        <r>
          <rPr>
            <b/>
            <sz val="9"/>
            <color indexed="81"/>
            <rFont val="Tahoma"/>
            <family val="2"/>
          </rPr>
          <t>Management Partners:</t>
        </r>
        <r>
          <rPr>
            <sz val="9"/>
            <color indexed="81"/>
            <rFont val="Tahoma"/>
            <family val="2"/>
          </rPr>
          <t xml:space="preserve">
0=use single percentage growth factor (see above), or 1=NC+UAL rate as a percent of payroll by Police/Fire/Misc pension plans (see below); depending on selection, the other values are grayed out (not applicable)</t>
        </r>
      </text>
    </comment>
    <comment ref="H113" authorId="0" shapeId="0" xr:uid="{00000000-0006-0000-0200-000060000000}">
      <text>
        <r>
          <rPr>
            <b/>
            <sz val="9"/>
            <color indexed="81"/>
            <rFont val="Tahoma"/>
            <family val="2"/>
          </rPr>
          <t>Management Partners:</t>
        </r>
        <r>
          <rPr>
            <sz val="9"/>
            <color indexed="81"/>
            <rFont val="Tahoma"/>
            <family val="2"/>
          </rPr>
          <t xml:space="preserve">
this category includes pension costs (normal cost and unfunded liabilities) to CalPERS, and other pension systems such as PARS</t>
        </r>
      </text>
    </comment>
    <comment ref="H114" authorId="0" shapeId="0" xr:uid="{00000000-0006-0000-0200-000061000000}">
      <text>
        <r>
          <rPr>
            <b/>
            <sz val="9"/>
            <color indexed="81"/>
            <rFont val="Tahoma"/>
            <family val="2"/>
          </rPr>
          <t>Management Partners:</t>
        </r>
        <r>
          <rPr>
            <sz val="9"/>
            <color indexed="81"/>
            <rFont val="Tahoma"/>
            <family val="2"/>
          </rPr>
          <t xml:space="preserve">
this category include employee health, dental and visions insurance, along with any payments to employees who don't sign up for insurance, and also includes retiree medical/OPEB costs </t>
        </r>
      </text>
    </comment>
    <comment ref="H115" authorId="0" shapeId="0" xr:uid="{00000000-0006-0000-0200-000062000000}">
      <text>
        <r>
          <rPr>
            <b/>
            <sz val="9"/>
            <color indexed="81"/>
            <rFont val="Tahoma"/>
            <family val="2"/>
          </rPr>
          <t>Management Partners:</t>
        </r>
        <r>
          <rPr>
            <sz val="9"/>
            <color indexed="81"/>
            <rFont val="Tahoma"/>
            <family val="2"/>
          </rPr>
          <t xml:space="preserve">
this category Medicare, Social Security (if applicable); Unemployment insurance, deferred comp, life insurance, disability insurance, leave cashouts and other benefits; this is non-pensionable income</t>
        </r>
      </text>
    </comment>
    <comment ref="H116" authorId="0" shapeId="0" xr:uid="{00000000-0006-0000-0200-000063000000}">
      <text>
        <r>
          <rPr>
            <b/>
            <sz val="9"/>
            <color indexed="81"/>
            <rFont val="Tahoma"/>
            <family val="2"/>
          </rPr>
          <t>Management Partners:</t>
        </r>
        <r>
          <rPr>
            <sz val="9"/>
            <color indexed="81"/>
            <rFont val="Tahoma"/>
            <family val="2"/>
          </rPr>
          <t xml:space="preserve">
This category is for (a) any expense credits from salary and benefits allocated to other funds, and (b) any budgeted vacancy savings; these amounts are credits, so the net of the above categories and this one need to total 100%. If there are no such credits for your city, then this categorynor any budgeted vacancy savings, then this cell should be 0%.</t>
        </r>
      </text>
    </comment>
    <comment ref="H117" authorId="0" shapeId="0" xr:uid="{00000000-0006-0000-0200-000064000000}">
      <text>
        <r>
          <rPr>
            <b/>
            <sz val="9"/>
            <color indexed="81"/>
            <rFont val="Tahoma"/>
            <family val="2"/>
          </rPr>
          <t>Management Partners:</t>
        </r>
        <r>
          <rPr>
            <sz val="9"/>
            <color indexed="81"/>
            <rFont val="Tahoma"/>
            <family val="2"/>
          </rPr>
          <t xml:space="preserve">
This category is for (a) any expense credits from salary and benefits allocated to other funds, and (b) any budgeted vacancy savings; these amounts are credits, so the net of the above categories and this one need to total 100%. If there are no such credits for your city, then this categorynor any budgeted vacancy savings, then this cell should be 0%.</t>
        </r>
      </text>
    </comment>
    <comment ref="C118" authorId="0" shapeId="0" xr:uid="{00000000-0006-0000-0200-000065000000}">
      <text>
        <r>
          <rPr>
            <b/>
            <sz val="9"/>
            <color indexed="81"/>
            <rFont val="Tahoma"/>
            <family val="2"/>
          </rPr>
          <t>Management Partners:</t>
        </r>
        <r>
          <rPr>
            <sz val="9"/>
            <color indexed="81"/>
            <rFont val="Tahoma"/>
            <family val="2"/>
          </rPr>
          <t xml:space="preserve">
0=use single percentage growth factor (see above), or 1=use growth determined by dollar amounts by year (see below)</t>
        </r>
      </text>
    </comment>
    <comment ref="H118" authorId="0" shapeId="0" xr:uid="{00000000-0006-0000-0200-000066000000}">
      <text>
        <r>
          <rPr>
            <b/>
            <sz val="9"/>
            <color indexed="81"/>
            <rFont val="Tahoma"/>
            <family val="2"/>
          </rPr>
          <t>Management Partners:</t>
        </r>
        <r>
          <rPr>
            <sz val="9"/>
            <color indexed="81"/>
            <rFont val="Tahoma"/>
            <family val="2"/>
          </rPr>
          <t xml:space="preserve">
all non-personnel operating costs</t>
        </r>
      </text>
    </comment>
    <comment ref="C119" authorId="0" shapeId="0" xr:uid="{00000000-0006-0000-0200-000067000000}">
      <text>
        <r>
          <rPr>
            <b/>
            <sz val="9"/>
            <color indexed="81"/>
            <rFont val="Tahoma"/>
            <family val="2"/>
          </rPr>
          <t>Management Partners:</t>
        </r>
        <r>
          <rPr>
            <sz val="9"/>
            <color indexed="81"/>
            <rFont val="Tahoma"/>
            <family val="2"/>
          </rPr>
          <t xml:space="preserve">
0=use single percentage growth factor (see above), or 1=use growth determined by dollar amounts by year (see below)</t>
        </r>
      </text>
    </comment>
    <comment ref="H119" authorId="0" shapeId="0" xr:uid="{00000000-0006-0000-0200-000068000000}">
      <text>
        <r>
          <rPr>
            <b/>
            <sz val="9"/>
            <color indexed="81"/>
            <rFont val="Tahoma"/>
            <family val="2"/>
          </rPr>
          <t>Management Partners:</t>
        </r>
        <r>
          <rPr>
            <sz val="9"/>
            <color indexed="81"/>
            <rFont val="Tahoma"/>
            <family val="2"/>
          </rPr>
          <t xml:space="preserve">
</t>
        </r>
      </text>
    </comment>
    <comment ref="C120" authorId="0" shapeId="0" xr:uid="{00000000-0006-0000-0200-000069000000}">
      <text>
        <r>
          <rPr>
            <b/>
            <sz val="9"/>
            <color indexed="81"/>
            <rFont val="Tahoma"/>
            <family val="2"/>
          </rPr>
          <t>Management Partners:</t>
        </r>
        <r>
          <rPr>
            <sz val="9"/>
            <color indexed="81"/>
            <rFont val="Tahoma"/>
            <family val="2"/>
          </rPr>
          <t xml:space="preserve">
0=use single percentage growth factor (see above), or 1=use growth determined by dollar amounts by year (see below)</t>
        </r>
      </text>
    </comment>
    <comment ref="A130" authorId="0" shapeId="0" xr:uid="{00000000-0006-0000-0200-00006A000000}">
      <text>
        <r>
          <rPr>
            <b/>
            <sz val="9"/>
            <color indexed="81"/>
            <rFont val="Tahoma"/>
            <family val="2"/>
          </rPr>
          <t>Management Partners:</t>
        </r>
        <r>
          <rPr>
            <sz val="9"/>
            <color indexed="81"/>
            <rFont val="Tahoma"/>
            <family val="2"/>
          </rPr>
          <t xml:space="preserve">
this section is utilized only if expenditure growth for salaries above uses code 99 instead of a fixed annual growth rate; enter the estimated total growth by group for salary COLA, step increases, and addition of positions (if any)</t>
        </r>
      </text>
    </comment>
    <comment ref="C137" authorId="0" shapeId="0" xr:uid="{00000000-0006-0000-0200-00006B000000}">
      <text>
        <r>
          <rPr>
            <b/>
            <sz val="9"/>
            <color indexed="81"/>
            <rFont val="Tahoma"/>
            <family val="2"/>
          </rPr>
          <t>Management Partners:</t>
        </r>
        <r>
          <rPr>
            <sz val="9"/>
            <color indexed="81"/>
            <rFont val="Tahoma"/>
            <family val="2"/>
          </rPr>
          <t xml:space="preserve">
this section is linked to the Worksheet tab; doo not enter amounts here</t>
        </r>
      </text>
    </comment>
    <comment ref="C138" authorId="0" shapeId="0" xr:uid="{00000000-0006-0000-0200-00006C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 as a percent of the payroll for the plan; the payroll will be determined by the percent shares under the COLA section above, applied to salaries; retirement costs will be computed on salaries using these rates; this line is for sworn Police</t>
        </r>
      </text>
    </comment>
    <comment ref="C139" authorId="0" shapeId="0" xr:uid="{00000000-0006-0000-0200-00006D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 as a percent of the payroll for the plan; the payroll will be determined by the percent shares under the COLA section above, applied to salaries; retirement costs will be computed on salaries using these rates; this line is for sworn Fire</t>
        </r>
      </text>
    </comment>
    <comment ref="C140" authorId="0" shapeId="0" xr:uid="{00000000-0006-0000-0200-00006E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prepayment,as a percent of the payroll for the plan; the payroll will be determined by the percent shares under the COLA section above, applied to salaries; retirement costs will be computed on salaries using these rates; this line is for all other employees (Misc/non-sworn)</t>
        </r>
      </text>
    </comment>
    <comment ref="Q214" authorId="0" shapeId="0" xr:uid="{00000000-0006-0000-0200-00006F000000}">
      <text>
        <r>
          <rPr>
            <b/>
            <sz val="9"/>
            <color indexed="81"/>
            <rFont val="Tahoma"/>
            <family val="2"/>
          </rPr>
          <t>Management Partners:</t>
        </r>
        <r>
          <rPr>
            <sz val="9"/>
            <color indexed="81"/>
            <rFont val="Tahoma"/>
            <family val="2"/>
          </rPr>
          <t xml:space="preserve">
controls buttons under Revenue Gap chart; used to reset scale on chart</t>
        </r>
      </text>
    </comment>
    <comment ref="C222" authorId="0" shapeId="0" xr:uid="{00000000-0006-0000-0200-000070000000}">
      <text>
        <r>
          <rPr>
            <b/>
            <sz val="9"/>
            <color indexed="81"/>
            <rFont val="Tahoma"/>
            <family val="2"/>
          </rPr>
          <t>Management Partners:</t>
        </r>
        <r>
          <rPr>
            <sz val="9"/>
            <color indexed="81"/>
            <rFont val="Tahoma"/>
            <family val="2"/>
          </rPr>
          <t xml:space="preserve">
phased in over 5 years starting FY22</t>
        </r>
      </text>
    </comment>
    <comment ref="B228" authorId="0" shapeId="0" xr:uid="{00000000-0006-0000-0200-000071000000}">
      <text>
        <r>
          <rPr>
            <b/>
            <sz val="9"/>
            <color indexed="81"/>
            <rFont val="Tahoma"/>
            <family val="2"/>
          </rPr>
          <t>Management Partners:</t>
        </r>
        <r>
          <rPr>
            <sz val="9"/>
            <color indexed="81"/>
            <rFont val="Tahoma"/>
            <family val="2"/>
          </rPr>
          <t xml:space="preserve">
cell D17 uses this when first deficit month is greater than the cash flow tab range (after June 2022)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Management Partners</author>
    <author>Steve Toler</author>
  </authors>
  <commentList>
    <comment ref="B6" authorId="0" shapeId="0" xr:uid="{00000000-0006-0000-0400-000001000000}">
      <text>
        <r>
          <rPr>
            <b/>
            <sz val="9"/>
            <color indexed="81"/>
            <rFont val="Tahoma"/>
            <family val="2"/>
          </rPr>
          <t>Management Partners:</t>
        </r>
        <r>
          <rPr>
            <sz val="9"/>
            <color indexed="81"/>
            <rFont val="Tahoma"/>
            <family val="2"/>
          </rPr>
          <t xml:space="preserve">
these are actual amounts</t>
        </r>
      </text>
    </comment>
    <comment ref="C6" authorId="0" shapeId="0" xr:uid="{00000000-0006-0000-0400-000002000000}">
      <text>
        <r>
          <rPr>
            <b/>
            <sz val="9"/>
            <color indexed="81"/>
            <rFont val="Tahoma"/>
            <family val="2"/>
          </rPr>
          <t>Management Partners:</t>
        </r>
        <r>
          <rPr>
            <sz val="9"/>
            <color indexed="81"/>
            <rFont val="Tahoma"/>
            <family val="2"/>
          </rPr>
          <t xml:space="preserve">
these are actual amounts</t>
        </r>
      </text>
    </comment>
    <comment ref="D6" authorId="0" shapeId="0" xr:uid="{00000000-0006-0000-0400-000003000000}">
      <text>
        <r>
          <rPr>
            <b/>
            <sz val="9"/>
            <color indexed="81"/>
            <rFont val="Tahoma"/>
            <family val="2"/>
          </rPr>
          <t>Management Partners:</t>
        </r>
        <r>
          <rPr>
            <sz val="9"/>
            <color indexed="81"/>
            <rFont val="Tahoma"/>
            <family val="2"/>
          </rPr>
          <t xml:space="preserve">
this is the budgeted or estimated amount for FY19/20 PRE-RECESSION; the Recession Impact section above will adjust these revenues in the Recession Forecast accordingly</t>
        </r>
      </text>
    </comment>
    <comment ref="E6" authorId="0" shapeId="0" xr:uid="{00000000-0006-0000-0400-000004000000}">
      <text>
        <r>
          <rPr>
            <b/>
            <sz val="9"/>
            <color indexed="81"/>
            <rFont val="Tahoma"/>
            <family val="2"/>
          </rPr>
          <t>Management Partners:</t>
        </r>
        <r>
          <rPr>
            <sz val="9"/>
            <color indexed="81"/>
            <rFont val="Tahoma"/>
            <family val="2"/>
          </rPr>
          <t xml:space="preserve">
this is the budgeted or estimated amount for FY20/21 PRE-RECESSION; the Recession Impact section above will adjust these revenues in the Recession Forecast accordingly</t>
        </r>
      </text>
    </comment>
    <comment ref="F6" authorId="0" shapeId="0" xr:uid="{00000000-0006-0000-0400-000005000000}">
      <text>
        <r>
          <rPr>
            <b/>
            <sz val="9"/>
            <color indexed="81"/>
            <rFont val="Tahoma"/>
            <family val="2"/>
          </rPr>
          <t>Management Partners:</t>
        </r>
        <r>
          <rPr>
            <sz val="9"/>
            <color indexed="81"/>
            <rFont val="Tahoma"/>
            <family val="2"/>
          </rPr>
          <t xml:space="preserve">
this is the average no-recession growth rate for your city starting FY21/22; recession/coronavirus will adjust these growth rates per Recession Impact section above</t>
        </r>
      </text>
    </comment>
    <comment ref="F23" authorId="0" shapeId="0" xr:uid="{00000000-0006-0000-0400-000006000000}">
      <text>
        <r>
          <rPr>
            <b/>
            <sz val="9"/>
            <color indexed="81"/>
            <rFont val="Tahoma"/>
            <family val="2"/>
          </rPr>
          <t>Management Partners:</t>
        </r>
        <r>
          <rPr>
            <sz val="9"/>
            <color indexed="81"/>
            <rFont val="Tahoma"/>
            <family val="2"/>
          </rPr>
          <t xml:space="preserve">
growth based on fund balance</t>
        </r>
      </text>
    </comment>
    <comment ref="B31" authorId="0" shapeId="0" xr:uid="{00000000-0006-0000-0400-000007000000}">
      <text>
        <r>
          <rPr>
            <b/>
            <sz val="9"/>
            <color indexed="81"/>
            <rFont val="Tahoma"/>
            <family val="2"/>
          </rPr>
          <t>Management Partners:</t>
        </r>
        <r>
          <rPr>
            <sz val="9"/>
            <color indexed="81"/>
            <rFont val="Tahoma"/>
            <family val="2"/>
          </rPr>
          <t xml:space="preserve">
these are actual amounts</t>
        </r>
      </text>
    </comment>
    <comment ref="C31" authorId="0" shapeId="0" xr:uid="{00000000-0006-0000-0400-000008000000}">
      <text>
        <r>
          <rPr>
            <b/>
            <sz val="9"/>
            <color indexed="81"/>
            <rFont val="Tahoma"/>
            <family val="2"/>
          </rPr>
          <t>Management Partners:</t>
        </r>
        <r>
          <rPr>
            <sz val="9"/>
            <color indexed="81"/>
            <rFont val="Tahoma"/>
            <family val="2"/>
          </rPr>
          <t xml:space="preserve">
these are actual amounts</t>
        </r>
      </text>
    </comment>
    <comment ref="D31" authorId="0" shapeId="0" xr:uid="{00000000-0006-0000-0400-000009000000}">
      <text>
        <r>
          <rPr>
            <b/>
            <sz val="9"/>
            <color indexed="81"/>
            <rFont val="Tahoma"/>
            <family val="2"/>
          </rPr>
          <t>Management Partners:</t>
        </r>
        <r>
          <rPr>
            <sz val="9"/>
            <color indexed="81"/>
            <rFont val="Tahoma"/>
            <family val="2"/>
          </rPr>
          <t xml:space="preserve">
these are amended City budget or staff estimates of amounts BEFORE impact of any coronavirus/recession</t>
        </r>
      </text>
    </comment>
    <comment ref="E31" authorId="0" shapeId="0" xr:uid="{00000000-0006-0000-0400-00000A000000}">
      <text>
        <r>
          <rPr>
            <b/>
            <sz val="9"/>
            <color indexed="81"/>
            <rFont val="Tahoma"/>
            <family val="2"/>
          </rPr>
          <t>Management Partners:</t>
        </r>
        <r>
          <rPr>
            <sz val="9"/>
            <color indexed="81"/>
            <rFont val="Tahoma"/>
            <family val="2"/>
          </rPr>
          <t xml:space="preserve">
these are proposed City budget or staff estimates of amounts BEFORE impact of any coronavirus/recession</t>
        </r>
      </text>
    </comment>
    <comment ref="B42" authorId="0" shapeId="0" xr:uid="{00000000-0006-0000-0400-00000B000000}">
      <text>
        <r>
          <rPr>
            <b/>
            <sz val="9"/>
            <color indexed="81"/>
            <rFont val="Tahoma"/>
            <family val="2"/>
          </rPr>
          <t>Management Partners:</t>
        </r>
        <r>
          <rPr>
            <sz val="9"/>
            <color indexed="81"/>
            <rFont val="Tahoma"/>
            <family val="2"/>
          </rPr>
          <t xml:space="preserve">
these are actual amounts</t>
        </r>
      </text>
    </comment>
    <comment ref="C42" authorId="0" shapeId="0" xr:uid="{00000000-0006-0000-0400-00000C000000}">
      <text>
        <r>
          <rPr>
            <b/>
            <sz val="9"/>
            <color indexed="81"/>
            <rFont val="Tahoma"/>
            <family val="2"/>
          </rPr>
          <t>Management Partners:</t>
        </r>
        <r>
          <rPr>
            <sz val="9"/>
            <color indexed="81"/>
            <rFont val="Tahoma"/>
            <family val="2"/>
          </rPr>
          <t xml:space="preserve">
these are actual amounts</t>
        </r>
      </text>
    </comment>
    <comment ref="D42" authorId="0" shapeId="0" xr:uid="{00000000-0006-0000-0400-00000D000000}">
      <text>
        <r>
          <rPr>
            <b/>
            <sz val="9"/>
            <color indexed="81"/>
            <rFont val="Tahoma"/>
            <family val="2"/>
          </rPr>
          <t>Management Partners:</t>
        </r>
        <r>
          <rPr>
            <sz val="9"/>
            <color indexed="81"/>
            <rFont val="Tahoma"/>
            <family val="2"/>
          </rPr>
          <t xml:space="preserve">
these are amended City budget or staff estimates of amounts BEFORE impact of any coronavirus/recession</t>
        </r>
      </text>
    </comment>
    <comment ref="E42" authorId="0" shapeId="0" xr:uid="{00000000-0006-0000-0400-00000E000000}">
      <text>
        <r>
          <rPr>
            <b/>
            <sz val="9"/>
            <color indexed="81"/>
            <rFont val="Tahoma"/>
            <family val="2"/>
          </rPr>
          <t>Management Partners:</t>
        </r>
        <r>
          <rPr>
            <sz val="9"/>
            <color indexed="81"/>
            <rFont val="Tahoma"/>
            <family val="2"/>
          </rPr>
          <t xml:space="preserve">
these are amended City budget or staff estimates of amounts BEFORE impact of any coronavirus/recession</t>
        </r>
      </text>
    </comment>
    <comment ref="C59" authorId="0" shapeId="0" xr:uid="{00000000-0006-0000-0400-00000F000000}">
      <text>
        <r>
          <rPr>
            <b/>
            <sz val="9"/>
            <color indexed="81"/>
            <rFont val="Tahoma"/>
            <family val="2"/>
          </rPr>
          <t>Management Partners:</t>
        </r>
        <r>
          <rPr>
            <sz val="9"/>
            <color indexed="81"/>
            <rFont val="Tahoma"/>
            <family val="2"/>
          </rPr>
          <t xml:space="preserve">
these are actual amounts</t>
        </r>
      </text>
    </comment>
    <comment ref="D59" authorId="0" shapeId="0" xr:uid="{00000000-0006-0000-0400-000010000000}">
      <text>
        <r>
          <rPr>
            <b/>
            <sz val="9"/>
            <color indexed="81"/>
            <rFont val="Tahoma"/>
            <family val="2"/>
          </rPr>
          <t>Management Partners:</t>
        </r>
        <r>
          <rPr>
            <sz val="9"/>
            <color indexed="81"/>
            <rFont val="Tahoma"/>
            <family val="2"/>
          </rPr>
          <t xml:space="preserve">
these are actual amounts</t>
        </r>
      </text>
    </comment>
    <comment ref="E59" authorId="0" shapeId="0" xr:uid="{00000000-0006-0000-0400-000011000000}">
      <text>
        <r>
          <rPr>
            <b/>
            <sz val="9"/>
            <color indexed="81"/>
            <rFont val="Tahoma"/>
            <family val="2"/>
          </rPr>
          <t>Management Partners:</t>
        </r>
        <r>
          <rPr>
            <sz val="9"/>
            <color indexed="81"/>
            <rFont val="Tahoma"/>
            <family val="2"/>
          </rPr>
          <t xml:space="preserve">
these are actual amounts</t>
        </r>
      </text>
    </comment>
    <comment ref="B67" authorId="0" shapeId="0" xr:uid="{00000000-0006-0000-0400-000012000000}">
      <text>
        <r>
          <rPr>
            <b/>
            <sz val="9"/>
            <color indexed="81"/>
            <rFont val="Tahoma"/>
            <family val="2"/>
          </rPr>
          <t>Management Partners:</t>
        </r>
        <r>
          <rPr>
            <sz val="9"/>
            <color indexed="81"/>
            <rFont val="Tahoma"/>
            <family val="2"/>
          </rPr>
          <t xml:space="preserve">
This should be spendable only, including unassigned balance, emergency and economic uncertainty reserves, and all assigned amounts that are not otherwise contractually obligated.  If you have a Transaction Tax which is considered a General Tax, that is, approved by a majority of voters, and you record it in another fund, then include the balance of that other fund here. Including both revenues and expenditures (and balance) from such a tax in the forecast provides a clearer picture of the City's overall finances, and impact of the recession on tax revenues. If your City considers this a special tax with 2/3 voter approval and you record all of it in another fund, do not include it here.</t>
        </r>
      </text>
    </comment>
    <comment ref="A69" authorId="0" shapeId="0" xr:uid="{00000000-0006-0000-0400-000013000000}">
      <text>
        <r>
          <rPr>
            <b/>
            <sz val="9"/>
            <color indexed="81"/>
            <rFont val="Tahoma"/>
            <family val="2"/>
          </rPr>
          <t>Management Partners:</t>
        </r>
        <r>
          <rPr>
            <sz val="9"/>
            <color indexed="81"/>
            <rFont val="Tahoma"/>
            <family val="2"/>
          </rPr>
          <t xml:space="preserve">
this section is utilized only if expenditure growth for salaries above uses code 99 instead of a fixed annual growth rate; enter the estimated total growth by group for salary COLA, step increases, and addition of positions (if any)</t>
        </r>
      </text>
    </comment>
    <comment ref="C71" authorId="0" shapeId="0" xr:uid="{00000000-0006-0000-0400-000014000000}">
      <text>
        <r>
          <rPr>
            <b/>
            <sz val="9"/>
            <color indexed="81"/>
            <rFont val="Tahoma"/>
            <family val="2"/>
          </rPr>
          <t>Management Partners:</t>
        </r>
        <r>
          <rPr>
            <sz val="9"/>
            <color indexed="81"/>
            <rFont val="Tahoma"/>
            <family val="2"/>
          </rPr>
          <t xml:space="preserve">
suggest at least 1 FTE per year for Police (more for larger cities), to respond to population growth and workload increases</t>
        </r>
      </text>
    </comment>
    <comment ref="A73" authorId="0" shapeId="0" xr:uid="{00000000-0006-0000-0400-000015000000}">
      <text>
        <r>
          <rPr>
            <b/>
            <sz val="9"/>
            <color indexed="81"/>
            <rFont val="Tahoma"/>
            <family val="2"/>
          </rPr>
          <t>Management Partners:</t>
        </r>
        <r>
          <rPr>
            <sz val="9"/>
            <color indexed="81"/>
            <rFont val="Tahoma"/>
            <family val="2"/>
          </rPr>
          <t xml:space="preserve">
suggested net impact of between 0.25% and 0.5%, based on analyses done of varrious cities, assuming 5% step increases for those eligible, and 8% turnover rate with new hires randomly selected, at random 5-20% savings per position filled, based on filling at lower than the step of prior occupant</t>
        </r>
      </text>
    </comment>
    <comment ref="B75" authorId="0" shapeId="0" xr:uid="{00000000-0006-0000-0400-000016000000}">
      <text>
        <r>
          <rPr>
            <b/>
            <sz val="9"/>
            <color indexed="81"/>
            <rFont val="Tahoma"/>
            <family val="2"/>
          </rPr>
          <t>Management Partners:</t>
        </r>
        <r>
          <rPr>
            <sz val="9"/>
            <color indexed="81"/>
            <rFont val="Tahoma"/>
            <family val="2"/>
          </rPr>
          <t xml:space="preserve">
enter percent of total pensionable payroll that is represented by sworn police in the General Fund</t>
        </r>
      </text>
    </comment>
    <comment ref="C77" authorId="0" shapeId="0" xr:uid="{00000000-0006-0000-0400-000017000000}">
      <text>
        <r>
          <rPr>
            <b/>
            <sz val="9"/>
            <color indexed="81"/>
            <rFont val="Tahoma"/>
            <family val="2"/>
          </rPr>
          <t>Management Partners:</t>
        </r>
        <r>
          <rPr>
            <sz val="9"/>
            <color indexed="81"/>
            <rFont val="Tahoma"/>
            <family val="2"/>
          </rPr>
          <t xml:space="preserve">
generally no growth in sworn fire staff; takes 3 FTE to add one year-round position; each engine typically staffed with from 3-4 FTE</t>
        </r>
      </text>
    </comment>
    <comment ref="A79" authorId="0" shapeId="0" xr:uid="{00000000-0006-0000-0400-000018000000}">
      <text>
        <r>
          <rPr>
            <b/>
            <sz val="9"/>
            <color indexed="81"/>
            <rFont val="Tahoma"/>
            <family val="2"/>
          </rPr>
          <t>Management Partners:</t>
        </r>
        <r>
          <rPr>
            <sz val="9"/>
            <color indexed="81"/>
            <rFont val="Tahoma"/>
            <family val="2"/>
          </rPr>
          <t xml:space="preserve">
suggested net impact of between 0.25% and 0.5%, based on analyses done of varrious cities, assuming 5% step increases for those eligible, and 8% turnover rate with new hires randomly selected, at random 5-20% savings per position filled, based on filling at lower than the step of prior occupant</t>
        </r>
      </text>
    </comment>
    <comment ref="B81" authorId="0" shapeId="0" xr:uid="{00000000-0006-0000-0400-000019000000}">
      <text>
        <r>
          <rPr>
            <b/>
            <sz val="9"/>
            <color indexed="81"/>
            <rFont val="Tahoma"/>
            <family val="2"/>
          </rPr>
          <t>Management Partners:</t>
        </r>
        <r>
          <rPr>
            <sz val="9"/>
            <color indexed="81"/>
            <rFont val="Tahoma"/>
            <family val="2"/>
          </rPr>
          <t xml:space="preserve">
enter percent of total pensionable payroll that is represented by sworn fire in the General Fund</t>
        </r>
      </text>
    </comment>
    <comment ref="C83" authorId="0" shapeId="0" xr:uid="{00000000-0006-0000-0400-00001A000000}">
      <text>
        <r>
          <rPr>
            <b/>
            <sz val="9"/>
            <color indexed="81"/>
            <rFont val="Tahoma"/>
            <family val="2"/>
          </rPr>
          <t>Management Partners:</t>
        </r>
        <r>
          <rPr>
            <sz val="9"/>
            <color indexed="81"/>
            <rFont val="Tahoma"/>
            <family val="2"/>
          </rPr>
          <t xml:space="preserve">
suggest at least 1 FTE per year for Misc (more for larger cities), to respond to population growth and workload increases</t>
        </r>
      </text>
    </comment>
    <comment ref="A85" authorId="0" shapeId="0" xr:uid="{00000000-0006-0000-0400-00001B000000}">
      <text>
        <r>
          <rPr>
            <b/>
            <sz val="9"/>
            <color indexed="81"/>
            <rFont val="Tahoma"/>
            <family val="2"/>
          </rPr>
          <t>Management Partners:</t>
        </r>
        <r>
          <rPr>
            <sz val="9"/>
            <color indexed="81"/>
            <rFont val="Tahoma"/>
            <family val="2"/>
          </rPr>
          <t xml:space="preserve">
suggested net impact of between 0.25% and 0.5%, based on analyses done of varrious cities, assuming 5% step increases for those eligible, and 8% turnover rate with new hires randomly selected, at random 5-20% savings per position filled, based on filling at lower than the step of prior occupant</t>
        </r>
      </text>
    </comment>
    <comment ref="B87" authorId="0" shapeId="0" xr:uid="{00000000-0006-0000-0400-00001C000000}">
      <text>
        <r>
          <rPr>
            <b/>
            <sz val="9"/>
            <color indexed="81"/>
            <rFont val="Tahoma"/>
            <family val="2"/>
          </rPr>
          <t>Management Partners:</t>
        </r>
        <r>
          <rPr>
            <sz val="9"/>
            <color indexed="81"/>
            <rFont val="Tahoma"/>
            <family val="2"/>
          </rPr>
          <t xml:space="preserve">
enter percent of total pensionable payroll that is represented by all other employees in the General Fund</t>
        </r>
      </text>
    </comment>
    <comment ref="B89" authorId="0" shapeId="0" xr:uid="{00000000-0006-0000-0400-00001D000000}">
      <text>
        <r>
          <rPr>
            <b/>
            <sz val="9"/>
            <color indexed="81"/>
            <rFont val="Tahoma"/>
            <family val="2"/>
          </rPr>
          <t>Management Partners:</t>
        </r>
        <r>
          <rPr>
            <sz val="9"/>
            <color indexed="81"/>
            <rFont val="Tahoma"/>
            <family val="2"/>
          </rPr>
          <t xml:space="preserve">
this section is utilized only if retirement growth for salaries above uses code 98 or 99 instead of a fixed annual growth rate</t>
        </r>
      </text>
    </comment>
    <comment ref="B90" authorId="0" shapeId="0" xr:uid="{00000000-0006-0000-0400-00001E000000}">
      <text>
        <r>
          <rPr>
            <b/>
            <sz val="9"/>
            <color indexed="81"/>
            <rFont val="Tahoma"/>
            <family val="2"/>
          </rPr>
          <t>Management Partners:</t>
        </r>
        <r>
          <rPr>
            <sz val="9"/>
            <color indexed="81"/>
            <rFont val="Tahoma"/>
            <family val="2"/>
          </rPr>
          <t xml:space="preserve">
1=low loss (0% in FY20, +10% in FY21, 6.2% thereafter), 2=medium loss (-5% in FY20, +12% in FY21, 6.2% thereafter), 3=High (-10% in FY20, +15% in FY21, 6.2% thereafter)</t>
        </r>
      </text>
    </comment>
    <comment ref="B91" authorId="0" shapeId="0" xr:uid="{00000000-0006-0000-0400-00001F000000}">
      <text>
        <r>
          <rPr>
            <b/>
            <sz val="9"/>
            <color indexed="81"/>
            <rFont val="Tahoma"/>
            <family val="2"/>
          </rPr>
          <t xml:space="preserve">Management Partners
</t>
        </r>
        <r>
          <rPr>
            <sz val="9"/>
            <color indexed="81"/>
            <rFont val="Tahoma"/>
            <family val="2"/>
          </rPr>
          <t>0=7% discount rate remains in effect; 1=6.5% discount rate phases in from FY22-FY26</t>
        </r>
      </text>
    </comment>
    <comment ref="B92" authorId="0" shapeId="0" xr:uid="{00000000-0006-0000-0400-000020000000}">
      <text>
        <r>
          <rPr>
            <b/>
            <sz val="9"/>
            <color indexed="81"/>
            <rFont val="Tahoma"/>
            <family val="2"/>
          </rPr>
          <t>Management Partners:</t>
        </r>
        <r>
          <rPr>
            <sz val="9"/>
            <color indexed="81"/>
            <rFont val="Tahoma"/>
            <family val="2"/>
          </rPr>
          <t xml:space="preserve">
0=pay UAL monthly, no discount; 1=pay up-front, receive 3.3% discount</t>
        </r>
      </text>
    </comment>
    <comment ref="B94" authorId="0" shapeId="0" xr:uid="{00000000-0006-0000-0400-000021000000}">
      <text>
        <r>
          <rPr>
            <b/>
            <sz val="9"/>
            <color indexed="81"/>
            <rFont val="Tahoma"/>
            <family val="2"/>
          </rPr>
          <t>Management Partners:</t>
        </r>
        <r>
          <rPr>
            <sz val="9"/>
            <color indexed="81"/>
            <rFont val="Tahoma"/>
            <family val="2"/>
          </rPr>
          <t xml:space="preserve">
if there is a single safety plan, rather than separate Police and Fire plans, enter the UAL here; otherwise, leave blank and fill UAL amounts for Police and Fire below</t>
        </r>
      </text>
    </comment>
    <comment ref="C94" authorId="0" shapeId="0" xr:uid="{00000000-0006-0000-0400-000022000000}">
      <text>
        <r>
          <rPr>
            <b/>
            <sz val="9"/>
            <color indexed="81"/>
            <rFont val="Tahoma"/>
            <family val="2"/>
          </rPr>
          <t>Management Partners:</t>
        </r>
        <r>
          <rPr>
            <sz val="9"/>
            <color indexed="81"/>
            <rFont val="Tahoma"/>
            <family val="2"/>
          </rPr>
          <t xml:space="preserve">
Enter from Employer Contribution History from FY18-21; enter from Projected Employer Contributions section for FY22-26</t>
        </r>
      </text>
    </comment>
    <comment ref="B95" authorId="0" shapeId="0" xr:uid="{00000000-0006-0000-0400-000023000000}">
      <text>
        <r>
          <rPr>
            <b/>
            <sz val="9"/>
            <color indexed="81"/>
            <rFont val="Tahoma"/>
            <family val="2"/>
          </rPr>
          <t>Management Partners:</t>
        </r>
        <r>
          <rPr>
            <sz val="9"/>
            <color indexed="81"/>
            <rFont val="Tahoma"/>
            <family val="2"/>
          </rPr>
          <t xml:space="preserve">
this is the cost sharing rate (if any) that the employee pays to the agency (as an offset tho the agency's employer contribution), rather than as a contribution to the pension system (which is taken into account in setting the agency;'s employer rates); check with HR as to cost-sharing rate; if there is no cost-sharing these cells must be 0%</t>
        </r>
      </text>
    </comment>
    <comment ref="B96" authorId="0" shapeId="0" xr:uid="{00000000-0006-0000-0400-000024000000}">
      <text>
        <r>
          <rPr>
            <b/>
            <sz val="9"/>
            <color indexed="81"/>
            <rFont val="Tahoma"/>
            <family val="2"/>
          </rPr>
          <t>Management Partners:</t>
        </r>
        <r>
          <rPr>
            <sz val="9"/>
            <color indexed="81"/>
            <rFont val="Tahoma"/>
            <family val="2"/>
          </rPr>
          <t xml:space="preserve">
this is the cost sharing rate (if any) that the employee pays to the agency (as an offset tho the agency's employer contribution), rather than as a contribution to the pension system (which is taken into account in setting the agency;'s employer rates); check with HR as to cost-sharing rate; if there is no cost-sharing these cells must be 0%</t>
        </r>
      </text>
    </comment>
    <comment ref="B97" authorId="0" shapeId="0" xr:uid="{00000000-0006-0000-0400-000025000000}">
      <text>
        <r>
          <rPr>
            <b/>
            <sz val="9"/>
            <color indexed="81"/>
            <rFont val="Tahoma"/>
            <family val="2"/>
          </rPr>
          <t>Management Partners:</t>
        </r>
        <r>
          <rPr>
            <sz val="9"/>
            <color indexed="81"/>
            <rFont val="Tahoma"/>
            <family val="2"/>
          </rPr>
          <t xml:space="preserve">
this is the cost sharing rate (if any) that the employee pays to the agency (as an offset tho the agency's employer contribution), rather than as a contribution to the pension system (which is taken into account in setting the agency;'s employer rates); check with HR as to cost-sharing rate; if there is no cost-sharing these cells must be 0%</t>
        </r>
      </text>
    </comment>
    <comment ref="B98" authorId="0" shapeId="0" xr:uid="{00000000-0006-0000-0400-000026000000}">
      <text>
        <r>
          <rPr>
            <b/>
            <sz val="9"/>
            <color indexed="81"/>
            <rFont val="Tahoma"/>
            <family val="2"/>
          </rPr>
          <t>Management Partners:</t>
        </r>
        <r>
          <rPr>
            <sz val="9"/>
            <color indexed="81"/>
            <rFont val="Tahoma"/>
            <family val="2"/>
          </rPr>
          <t xml:space="preserve">
few agencies pay for POBs as a percent of employee payroll, so the default for this is 0%</t>
        </r>
      </text>
    </comment>
    <comment ref="C101" authorId="0" shapeId="0" xr:uid="{00000000-0006-0000-0400-000027000000}">
      <text>
        <r>
          <rPr>
            <b/>
            <sz val="9"/>
            <color indexed="81"/>
            <rFont val="Tahoma"/>
            <family val="2"/>
          </rPr>
          <t>Management Partners:</t>
        </r>
        <r>
          <rPr>
            <sz val="9"/>
            <color indexed="81"/>
            <rFont val="Tahoma"/>
            <family val="2"/>
          </rPr>
          <t xml:space="preserve">
from CalPERS 2018 valuation , Appendix D, Normal Cost by Benefit Group schedule, from "payroll on 6/30/18" for all police plans</t>
        </r>
      </text>
    </comment>
    <comment ref="C109" authorId="0" shapeId="0" xr:uid="{00000000-0006-0000-0400-000028000000}">
      <text>
        <r>
          <rPr>
            <b/>
            <sz val="9"/>
            <color indexed="81"/>
            <rFont val="Tahoma"/>
            <family val="2"/>
          </rPr>
          <t>Management Partners:</t>
        </r>
        <r>
          <rPr>
            <sz val="9"/>
            <color indexed="81"/>
            <rFont val="Tahoma"/>
            <family val="2"/>
          </rPr>
          <t xml:space="preserve">
Enter from Employer Contribution History from FY18-21; enter from Projected Employer Contributions section for FY22-26</t>
        </r>
      </text>
    </comment>
    <comment ref="T119" authorId="0" shapeId="0" xr:uid="{00000000-0006-0000-0400-000029000000}">
      <text>
        <r>
          <rPr>
            <b/>
            <sz val="9"/>
            <color indexed="81"/>
            <rFont val="Tahoma"/>
            <family val="2"/>
          </rPr>
          <t>Management Partners:</t>
        </r>
        <r>
          <rPr>
            <sz val="9"/>
            <color indexed="81"/>
            <rFont val="Tahoma"/>
            <family val="2"/>
          </rPr>
          <t xml:space="preserve">
amount by which UAL, as adjusted by investment returns, in increased, by FY</t>
        </r>
      </text>
    </comment>
    <comment ref="C122" authorId="0" shapeId="0" xr:uid="{00000000-0006-0000-0400-00002A000000}">
      <text>
        <r>
          <rPr>
            <b/>
            <sz val="9"/>
            <color indexed="81"/>
            <rFont val="Tahoma"/>
            <family val="2"/>
          </rPr>
          <t>Management Partners:</t>
        </r>
        <r>
          <rPr>
            <sz val="9"/>
            <color indexed="81"/>
            <rFont val="Tahoma"/>
            <family val="2"/>
          </rPr>
          <t xml:space="preserve">
Enter from Employer Contribution History from FY18-21; enter from Projected Employer Contributions section for FY22-26</t>
        </r>
      </text>
    </comment>
    <comment ref="B129" authorId="0" shapeId="0" xr:uid="{00000000-0006-0000-0400-00002B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 as a percent of the payroll for the plan; the payroll will be determined by the percent shares under the COLA section above, applied to salaries; retirement costs will be computed on salaries using these rates; this line is for sworn Police</t>
        </r>
      </text>
    </comment>
    <comment ref="C132" authorId="0" shapeId="0" xr:uid="{00000000-0006-0000-0400-00002C000000}">
      <text>
        <r>
          <rPr>
            <b/>
            <sz val="9"/>
            <color indexed="81"/>
            <rFont val="Tahoma"/>
            <family val="2"/>
          </rPr>
          <t>Management Partners:</t>
        </r>
        <r>
          <rPr>
            <sz val="9"/>
            <color indexed="81"/>
            <rFont val="Tahoma"/>
            <family val="2"/>
          </rPr>
          <t xml:space="preserve">
from CalPERS 2018 valuation , Appendix D, Normal Cost by Benefit Group schedule, from "payroll on 6/30/18" for all fire plans</t>
        </r>
      </text>
    </comment>
    <comment ref="T132" authorId="0" shapeId="0" xr:uid="{00000000-0006-0000-0400-00002D000000}">
      <text>
        <r>
          <rPr>
            <b/>
            <sz val="9"/>
            <color indexed="81"/>
            <rFont val="Tahoma"/>
            <family val="2"/>
          </rPr>
          <t>Management Partners:</t>
        </r>
        <r>
          <rPr>
            <sz val="9"/>
            <color indexed="81"/>
            <rFont val="Tahoma"/>
            <family val="2"/>
          </rPr>
          <t xml:space="preserve">
amount by which UAL, as adjusted by investment returns, in increased, by FY</t>
        </r>
      </text>
    </comment>
    <comment ref="B160" authorId="0" shapeId="0" xr:uid="{00000000-0006-0000-0400-00002E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 as a percent of the payroll for the plan; the payroll will be determined by the percent shares under the COLA section above, applied to salaries; retirement costs will be computed on salaries using these rates; this line is for sworn Fire</t>
        </r>
      </text>
    </comment>
    <comment ref="C163" authorId="0" shapeId="0" xr:uid="{00000000-0006-0000-0400-00002F000000}">
      <text>
        <r>
          <rPr>
            <b/>
            <sz val="9"/>
            <color indexed="81"/>
            <rFont val="Tahoma"/>
            <family val="2"/>
          </rPr>
          <t>Management Partners:</t>
        </r>
        <r>
          <rPr>
            <sz val="9"/>
            <color indexed="81"/>
            <rFont val="Tahoma"/>
            <family val="2"/>
          </rPr>
          <t xml:space="preserve">
from CalPERS 2018 valuation , Appendix D, Normal Cost by Benefit Group schedule, from "payroll on 6/30/18" for all Misc plans</t>
        </r>
      </text>
    </comment>
    <comment ref="C171" authorId="0" shapeId="0" xr:uid="{00000000-0006-0000-0400-000030000000}">
      <text>
        <r>
          <rPr>
            <b/>
            <sz val="9"/>
            <color indexed="81"/>
            <rFont val="Tahoma"/>
            <family val="2"/>
          </rPr>
          <t>Management Partners:</t>
        </r>
        <r>
          <rPr>
            <sz val="9"/>
            <color indexed="81"/>
            <rFont val="Tahoma"/>
            <family val="2"/>
          </rPr>
          <t xml:space="preserve">
Enter from Employer Contribution History from FY18-21; enter from Projected Employer Contributions section for FY22-26</t>
        </r>
      </text>
    </comment>
    <comment ref="T181" authorId="0" shapeId="0" xr:uid="{00000000-0006-0000-0400-000031000000}">
      <text>
        <r>
          <rPr>
            <b/>
            <sz val="9"/>
            <color indexed="81"/>
            <rFont val="Tahoma"/>
            <family val="2"/>
          </rPr>
          <t>Management Partners:</t>
        </r>
        <r>
          <rPr>
            <sz val="9"/>
            <color indexed="81"/>
            <rFont val="Tahoma"/>
            <family val="2"/>
          </rPr>
          <t xml:space="preserve">
amount by which UAL, as adjusted by investment returns, in increased, by FY</t>
        </r>
      </text>
    </comment>
    <comment ref="C184" authorId="0" shapeId="0" xr:uid="{00000000-0006-0000-0400-000032000000}">
      <text>
        <r>
          <rPr>
            <b/>
            <sz val="9"/>
            <color indexed="81"/>
            <rFont val="Tahoma"/>
            <family val="2"/>
          </rPr>
          <t>Management Partners:</t>
        </r>
        <r>
          <rPr>
            <sz val="9"/>
            <color indexed="81"/>
            <rFont val="Tahoma"/>
            <family val="2"/>
          </rPr>
          <t xml:space="preserve">
Enter from Employer Contribution History from FY18-21; enter from Projected Employer Contributions section for FY22-26</t>
        </r>
      </text>
    </comment>
    <comment ref="B191" authorId="0" shapeId="0" xr:uid="{00000000-0006-0000-0400-000033000000}">
      <text>
        <r>
          <rPr>
            <b/>
            <sz val="9"/>
            <color indexed="81"/>
            <rFont val="Tahoma"/>
            <family val="2"/>
          </rPr>
          <t>Management Partners:</t>
        </r>
        <r>
          <rPr>
            <sz val="9"/>
            <color indexed="81"/>
            <rFont val="Tahoma"/>
            <family val="2"/>
          </rPr>
          <t xml:space="preserve">
this is the estimated total of normal cost plus unfunded accrued liability (UAL) less employee cost savings less discount from annual prepayment,as a percent of the payroll for the plan; the payroll will be determined by the percent shares under the COLA section above, applied to salaries; retirement costs will be computed on salaries using these rates; this line is for all other employees (Misc/non-sworn)</t>
        </r>
      </text>
    </comment>
    <comment ref="E236" authorId="1" shapeId="0" xr:uid="{00000000-0006-0000-0400-000034000000}">
      <text>
        <r>
          <rPr>
            <b/>
            <sz val="10"/>
            <color indexed="81"/>
            <rFont val="Tahoma"/>
            <family val="2"/>
          </rPr>
          <t>Steve Toler:</t>
        </r>
        <r>
          <rPr>
            <sz val="10"/>
            <color indexed="81"/>
            <rFont val="Tahoma"/>
            <family val="2"/>
          </rPr>
          <t xml:space="preserve">
Assume $300k are ongoing</t>
        </r>
      </text>
    </comment>
  </commentList>
</comments>
</file>

<file path=xl/sharedStrings.xml><?xml version="1.0" encoding="utf-8"?>
<sst xmlns="http://schemas.openxmlformats.org/spreadsheetml/2006/main" count="1276" uniqueCount="469">
  <si>
    <t>Property Tax</t>
  </si>
  <si>
    <t>Transient Occupancy Tax</t>
  </si>
  <si>
    <t>Park &amp; Recreation Fees</t>
  </si>
  <si>
    <t>Other Revenue</t>
  </si>
  <si>
    <t xml:space="preserve">   Total Revenue</t>
  </si>
  <si>
    <t>FY 2022-23</t>
  </si>
  <si>
    <t>Police</t>
  </si>
  <si>
    <t>Fire</t>
  </si>
  <si>
    <t>Parks &amp; Recreation</t>
  </si>
  <si>
    <t>Community Development</t>
  </si>
  <si>
    <t>Public Works</t>
  </si>
  <si>
    <t>Non-Departmental</t>
  </si>
  <si>
    <t>General Government</t>
  </si>
  <si>
    <t>Retirement</t>
  </si>
  <si>
    <t>Health</t>
  </si>
  <si>
    <t>Other Benefits</t>
  </si>
  <si>
    <t xml:space="preserve">   Total Personnel</t>
  </si>
  <si>
    <t>average</t>
  </si>
  <si>
    <t>less hi-lo</t>
  </si>
  <si>
    <t>Annual Net Revenue (Expense)</t>
  </si>
  <si>
    <t>Source</t>
  </si>
  <si>
    <t>Ending Fund Balance</t>
  </si>
  <si>
    <t>Beginning Fund Balance</t>
  </si>
  <si>
    <t>Balance as % of Total Expense</t>
  </si>
  <si>
    <t xml:space="preserve">   Revenue Growth</t>
  </si>
  <si>
    <t xml:space="preserve">   Expenditure Growth</t>
  </si>
  <si>
    <t>Moderate</t>
  </si>
  <si>
    <t>Severe</t>
  </si>
  <si>
    <t>Reserve Goal as % of Total Expenditures</t>
  </si>
  <si>
    <t>Reserve Goal-Pre-Recession</t>
  </si>
  <si>
    <t>Reserve Goal-Post-Recession</t>
  </si>
  <si>
    <t>Net Revenue Loss</t>
  </si>
  <si>
    <t>Federal Tax Loss Replacement</t>
  </si>
  <si>
    <t>Fiscal Year-labels</t>
  </si>
  <si>
    <t>Fiscal Year Ending</t>
  </si>
  <si>
    <t>Gross Revenue Loss</t>
  </si>
  <si>
    <t>FY 20/21</t>
  </si>
  <si>
    <t>FY 21/22</t>
  </si>
  <si>
    <t>High</t>
  </si>
  <si>
    <t>&lt;&lt;% of Severe</t>
  </si>
  <si>
    <t>SAVE</t>
  </si>
  <si>
    <t>Parks/Rec/Culture/Leisure</t>
  </si>
  <si>
    <t xml:space="preserve">   Total Expenditures by Dept</t>
  </si>
  <si>
    <t xml:space="preserve">   Total Expenditures by Type</t>
  </si>
  <si>
    <t xml:space="preserve">   Total Revenues</t>
  </si>
  <si>
    <t>Federal Aid</t>
  </si>
  <si>
    <t>Misc Exp Share</t>
  </si>
  <si>
    <t>Safety Exp Share</t>
  </si>
  <si>
    <t xml:space="preserve">   Total Misc</t>
  </si>
  <si>
    <t>% of Misc:</t>
  </si>
  <si>
    <t>% of Safety:</t>
  </si>
  <si>
    <t>Share of Total Expense:</t>
  </si>
  <si>
    <t>Safety Departments</t>
  </si>
  <si>
    <t>Misc Departments</t>
  </si>
  <si>
    <t>only shows first year of on-going cuts; see "Net Budget Change" above for ongoing impact</t>
  </si>
  <si>
    <t>Allocation of Budget Cut/Add:</t>
  </si>
  <si>
    <t>Low</t>
  </si>
  <si>
    <t>Jun</t>
  </si>
  <si>
    <t>Jul</t>
  </si>
  <si>
    <t>Aug</t>
  </si>
  <si>
    <t>Sep</t>
  </si>
  <si>
    <t>Oct</t>
  </si>
  <si>
    <t>Nov</t>
  </si>
  <si>
    <t>Dec</t>
  </si>
  <si>
    <t>Jan</t>
  </si>
  <si>
    <t>Feb</t>
  </si>
  <si>
    <t>Mar</t>
  </si>
  <si>
    <t>Apr</t>
  </si>
  <si>
    <t>May</t>
  </si>
  <si>
    <t>Starting Positive Balance in Deficit Year</t>
  </si>
  <si>
    <t>Burn Rate ($ per month)</t>
  </si>
  <si>
    <t>Interest Earnings</t>
  </si>
  <si>
    <t>Total Revenue Loss:</t>
  </si>
  <si>
    <t>CY at start of FY when Deficit Starts</t>
  </si>
  <si>
    <t>Burn Rate of Balance</t>
  </si>
  <si>
    <t>Start Balance</t>
  </si>
  <si>
    <t>Est first month of deficit</t>
  </si>
  <si>
    <t>Peak / Average FY20-27:</t>
  </si>
  <si>
    <t>Other Taxes</t>
  </si>
  <si>
    <t>BLT</t>
  </si>
  <si>
    <t>Expense</t>
  </si>
  <si>
    <t>Net</t>
  </si>
  <si>
    <t>Balance</t>
  </si>
  <si>
    <t>% of Cum Net Change</t>
  </si>
  <si>
    <t>Potential Deficit by:</t>
  </si>
  <si>
    <t>Revenue by Source</t>
  </si>
  <si>
    <t>Administration/Support</t>
  </si>
  <si>
    <t>Growth of Budget Increases/Decreases</t>
  </si>
  <si>
    <t>Each FY may be set at a different level to adjust the projected magnitude</t>
  </si>
  <si>
    <t>End Balance</t>
  </si>
  <si>
    <t>Avg Monthly Net Change</t>
  </si>
  <si>
    <t>Net Change</t>
  </si>
  <si>
    <t>ROUGH CASH FLOW</t>
  </si>
  <si>
    <t>New T&amp;UT</t>
  </si>
  <si>
    <t>In this model, the yellow cells (with red font)  contain variables that are</t>
  </si>
  <si>
    <t>Revenue Source</t>
  </si>
  <si>
    <t>See "Recession Impact by FY" section for</t>
  </si>
  <si>
    <t>variables that determine the loss for each</t>
  </si>
  <si>
    <t>PROJECTED REVENUE LOSSES CAUSED BY CORONAVIRUS/RECESSION BY FISCAL YEAR</t>
  </si>
  <si>
    <t>FY19/20</t>
  </si>
  <si>
    <t xml:space="preserve">   Total Exp by Function</t>
  </si>
  <si>
    <t>Fund Balance (June 30)</t>
  </si>
  <si>
    <t>Expense Credits/Savings</t>
  </si>
  <si>
    <t>Expenditure Type</t>
  </si>
  <si>
    <t>Net Change in Reserves</t>
  </si>
  <si>
    <t>Transfers In</t>
  </si>
  <si>
    <t>All Other Taxes</t>
  </si>
  <si>
    <t>Comm Develop/Planning Fees</t>
  </si>
  <si>
    <t>Intergovernmental</t>
  </si>
  <si>
    <t xml:space="preserve">Property Tax </t>
  </si>
  <si>
    <t>Sales Tax</t>
  </si>
  <si>
    <t>Retirement Growth</t>
  </si>
  <si>
    <t>Major Revenue Growth</t>
  </si>
  <si>
    <t>Local T&amp;UT</t>
  </si>
  <si>
    <t>Created by:</t>
  </si>
  <si>
    <t>Contact:</t>
  </si>
  <si>
    <t>2107 North First Street, Suite 470</t>
  </si>
  <si>
    <t>San Jose, CA  95131</t>
  </si>
  <si>
    <t>Phone: 408-437-5400</t>
  </si>
  <si>
    <t>Fax: 408-453-6191</t>
  </si>
  <si>
    <t>Expenditures by Type</t>
  </si>
  <si>
    <t>Expenditures by Function</t>
  </si>
  <si>
    <r>
      <t xml:space="preserve"> If major development in excess of normal growth is projected to occur, add </t>
    </r>
    <r>
      <rPr>
        <b/>
        <i/>
        <sz val="11"/>
        <color rgb="FF0000FF"/>
        <rFont val="Calibri"/>
        <family val="2"/>
        <scheme val="minor"/>
      </rPr>
      <t>only</t>
    </r>
    <r>
      <rPr>
        <i/>
        <sz val="11"/>
        <color rgb="FF0000FF"/>
        <rFont val="Calibri"/>
        <family val="2"/>
        <scheme val="minor"/>
      </rPr>
      <t xml:space="preserve"> to FY the new revenue will first be received:</t>
    </r>
  </si>
  <si>
    <t>Police-sworn</t>
  </si>
  <si>
    <t>Fire-sworn</t>
  </si>
  <si>
    <t>Misc-all other</t>
  </si>
  <si>
    <t>Total/Weighted</t>
  </si>
  <si>
    <t>Police Plan-% of payroll</t>
  </si>
  <si>
    <t>Fire Plan-% of payroll</t>
  </si>
  <si>
    <t>Misc Plan-% of payroll</t>
  </si>
  <si>
    <t>Salary Growth</t>
  </si>
  <si>
    <t>Overtime/Part-time</t>
  </si>
  <si>
    <t>Salaries/Add-Pays/Incentives</t>
  </si>
  <si>
    <t>Growth</t>
  </si>
  <si>
    <t>GENERAL FACTORS</t>
  </si>
  <si>
    <t>Budget Cut</t>
  </si>
  <si>
    <t>Cut Effective</t>
  </si>
  <si>
    <t>Budget Add</t>
  </si>
  <si>
    <t>Add Effective</t>
  </si>
  <si>
    <t>managementpartners.com</t>
  </si>
  <si>
    <t>RECESSION FORECAST</t>
  </si>
  <si>
    <t>NO-RECESSION FORECAST</t>
  </si>
  <si>
    <t>Annual Growth in Baseline Expenditures</t>
  </si>
  <si>
    <t>FY20/21</t>
  </si>
  <si>
    <t>Actual</t>
  </si>
  <si>
    <t>Estimate</t>
  </si>
  <si>
    <t>Budget</t>
  </si>
  <si>
    <t>Non-Personnel Operations</t>
  </si>
  <si>
    <t>Capital/Tfrs to Cap Projs</t>
  </si>
  <si>
    <t>Debt Service/Tfrs-Debt Svc</t>
  </si>
  <si>
    <t>Amounts Show Percent Revenue is Below the No-Recession Forecast</t>
  </si>
  <si>
    <t>and timing of impact; row 22 shows color-coded name of option selected.</t>
  </si>
  <si>
    <t xml:space="preserve">for the last two fiscal years, and the budget/best estimates for </t>
  </si>
  <si>
    <t xml:space="preserve">No-Recession revenue growth is controlled by the growth rates in </t>
  </si>
  <si>
    <t>own city's data.</t>
  </si>
  <si>
    <t>Screen size: adjust View&gt;Zoom to show A1:R39 on your screen.</t>
  </si>
  <si>
    <t>&lt;&lt; Loss Option    Phase-out &gt;&gt;</t>
  </si>
  <si>
    <t>Max</t>
  </si>
  <si>
    <t>Min</t>
  </si>
  <si>
    <t>Unit</t>
  </si>
  <si>
    <t>max calc</t>
  </si>
  <si>
    <t>Recession Revenue</t>
  </si>
  <si>
    <t>min calc</t>
  </si>
  <si>
    <t>Revenue Chart</t>
  </si>
  <si>
    <t>Prior Max</t>
  </si>
  <si>
    <t>Prior Min</t>
  </si>
  <si>
    <t xml:space="preserve">of these recession impact options. User </t>
  </si>
  <si>
    <t>recession impact options 1-4 by FY.</t>
  </si>
  <si>
    <t>can change magnitude of loss for the</t>
  </si>
  <si>
    <t>expenditure factors and data entry</t>
  </si>
  <si>
    <t>Budget Decrease</t>
  </si>
  <si>
    <t>Budget Increase</t>
  </si>
  <si>
    <t>Cursor</t>
  </si>
  <si>
    <t>Expense Cut</t>
  </si>
  <si>
    <t>Expense Add</t>
  </si>
  <si>
    <t>item 2</t>
  </si>
  <si>
    <t>item 3</t>
  </si>
  <si>
    <t>item 4</t>
  </si>
  <si>
    <t>Transfers to Other Funds</t>
  </si>
  <si>
    <t>item 5</t>
  </si>
  <si>
    <t>item 6</t>
  </si>
  <si>
    <t>Other</t>
  </si>
  <si>
    <t>Budget Increases</t>
  </si>
  <si>
    <t>Budget Decreases</t>
  </si>
  <si>
    <t>Only include transfers that are not for capital projects or debt services; includes subsidies to special revenue funds or enmterprises that are not self-supporting.</t>
  </si>
  <si>
    <t>Includes direct expenditures to the General Fund, and any transfers to capital project funds.</t>
  </si>
  <si>
    <t>Includes direct expenditures to the General Fund, and any transfers to debt service funds.</t>
  </si>
  <si>
    <t xml:space="preserve">PageDown to next four screens for </t>
  </si>
  <si>
    <t>Debt Service/Transfers</t>
  </si>
  <si>
    <t xml:space="preserve">Capital/Transfers </t>
  </si>
  <si>
    <t>if Alternate Growth Factors section activated, then that total must equal this amount</t>
  </si>
  <si>
    <t>Transfers Out to Other Funds</t>
  </si>
  <si>
    <t>Totals</t>
  </si>
  <si>
    <t>to make a temporary change from baseline O&amp;M forecast, enter decreases as negative, increases as positive, only in the FY applicable; other years should remain $0</t>
  </si>
  <si>
    <t>Temporary O&amp;M Changes</t>
  </si>
  <si>
    <t>% Loss</t>
  </si>
  <si>
    <t>TOT ongoing reduction from No-Recession</t>
  </si>
  <si>
    <t>Rev Loss Loan</t>
  </si>
  <si>
    <t>Add FY20 only</t>
  </si>
  <si>
    <t>Add FY21 only</t>
  </si>
  <si>
    <t>REVENUE LOSS AMOUNTS BY RECESSION IMPACT OPTION BY FISCAL YEAR</t>
  </si>
  <si>
    <t>Revenue Loss Loan</t>
  </si>
  <si>
    <t>Revenue</t>
  </si>
  <si>
    <r>
      <t xml:space="preserve">Budget </t>
    </r>
    <r>
      <rPr>
        <b/>
        <vertAlign val="superscript"/>
        <sz val="11"/>
        <color theme="1"/>
        <rFont val="Calibri"/>
        <family val="2"/>
        <scheme val="minor"/>
      </rPr>
      <t>(1)</t>
    </r>
  </si>
  <si>
    <r>
      <rPr>
        <vertAlign val="superscript"/>
        <sz val="11"/>
        <color theme="1"/>
        <rFont val="Calibri"/>
        <family val="2"/>
        <scheme val="minor"/>
      </rPr>
      <t xml:space="preserve">  (1) </t>
    </r>
    <r>
      <rPr>
        <sz val="11"/>
        <color theme="1"/>
        <rFont val="Calibri"/>
        <family val="2"/>
        <scheme val="minor"/>
      </rPr>
      <t>adopted or amended budget, or staff estimate</t>
    </r>
  </si>
  <si>
    <t>Nonspendable</t>
  </si>
  <si>
    <t>Emergency Reserve/Economic Uncertainty</t>
  </si>
  <si>
    <t>Unassigned Balance</t>
  </si>
  <si>
    <t>Other Assigned</t>
  </si>
  <si>
    <t>Restricted</t>
  </si>
  <si>
    <t>Capital Projects</t>
  </si>
  <si>
    <t xml:space="preserve">   Total Expenditures by Function</t>
  </si>
  <si>
    <t>COLAs</t>
  </si>
  <si>
    <t>Net Step Increase/Turnover Savings</t>
  </si>
  <si>
    <t>FTE Growth Impact</t>
  </si>
  <si>
    <t xml:space="preserve">  Net Police-Sworn Growth</t>
  </si>
  <si>
    <t>Police-Sworn</t>
  </si>
  <si>
    <t xml:space="preserve">  Net Misc Growth</t>
  </si>
  <si>
    <t>Miscellaneous</t>
  </si>
  <si>
    <t xml:space="preserve">  Net Fire-Sworn Growth</t>
  </si>
  <si>
    <t>Fire-Sworn</t>
  </si>
  <si>
    <t>UAL-CalPERS Valuation</t>
  </si>
  <si>
    <t>Fire Plan</t>
  </si>
  <si>
    <t>Miscellaneous Plan</t>
  </si>
  <si>
    <t>Med</t>
  </si>
  <si>
    <t>FY 21-22</t>
  </si>
  <si>
    <t>FY 23-24</t>
  </si>
  <si>
    <t>FY 24-25</t>
  </si>
  <si>
    <t>FY 25-26</t>
  </si>
  <si>
    <t>FY 26-27</t>
  </si>
  <si>
    <t>Investment Return Profile</t>
  </si>
  <si>
    <t>Police-UAL-CalPERS Valuation</t>
  </si>
  <si>
    <t>Fire-UAL-CalPERS Valuation</t>
  </si>
  <si>
    <t>UAL-Discount Rate Change</t>
  </si>
  <si>
    <t>Normal Cost with PEPRA Shift Impact over 15 years</t>
  </si>
  <si>
    <t>Normal Cost-Impact of Discount Rate Change</t>
  </si>
  <si>
    <t>Discount Rate in FY27</t>
  </si>
  <si>
    <t>Low= 0% return FY20, 10% return FY21, 6.2% return thereafter</t>
  </si>
  <si>
    <t>Med= -5% return FY20, 12% return FY21, 6.2% return thereafter</t>
  </si>
  <si>
    <t>WORKSHEET FOR DATA ENTRY</t>
  </si>
  <si>
    <t>Enter Amounts in millions</t>
  </si>
  <si>
    <t>FTE Growth</t>
  </si>
  <si>
    <t>High= -10% return FY20, 15% return FY21, 6.2% return thereafter</t>
  </si>
  <si>
    <t>Loss Level</t>
  </si>
  <si>
    <t>Total UAL as % of Payroll</t>
  </si>
  <si>
    <t>UAL after Investment Loss Impact</t>
  </si>
  <si>
    <t>Impact of Various FY20 Investment Loss Levels (with Recovery in FY21)</t>
  </si>
  <si>
    <t xml:space="preserve">Retirement Costs </t>
  </si>
  <si>
    <t>Salaries</t>
  </si>
  <si>
    <t>Category</t>
  </si>
  <si>
    <t>Select Option</t>
  </si>
  <si>
    <t>Debt Service/Debt Tfr Out</t>
  </si>
  <si>
    <t>Capital/Cap Projs Tfr Out</t>
  </si>
  <si>
    <t xml:space="preserve">Other Transfers Out </t>
  </si>
  <si>
    <t>GENERAL FUND EXPENDITURE DATA</t>
  </si>
  <si>
    <t>GENERAL FUND REVENUE DATA</t>
  </si>
  <si>
    <t>Fund Payroll</t>
  </si>
  <si>
    <t>% of General</t>
  </si>
  <si>
    <t>General Fund Salary Growth</t>
  </si>
  <si>
    <t>Full Time FTE (General Fund only)</t>
  </si>
  <si>
    <t>FY22-FY27</t>
  </si>
  <si>
    <t>Discount Rate Level</t>
  </si>
  <si>
    <t>UAL Prepay Discount</t>
  </si>
  <si>
    <t>Total UAL after Invest Loss/Disc Rate Chng/Prepay</t>
  </si>
  <si>
    <t>Payroll-Tier 1</t>
  </si>
  <si>
    <t>Payroll-Tier 2</t>
  </si>
  <si>
    <t>Payroll-Tier 3/PEPRA</t>
  </si>
  <si>
    <t>Employer Normal Cost-Tier 1</t>
  </si>
  <si>
    <t>Employer Normal Cost-Tier 2</t>
  </si>
  <si>
    <t>Employer Normal Cost-Tier 3/PEPRA</t>
  </si>
  <si>
    <t>Total Payroll</t>
  </si>
  <si>
    <t>% of Payroll-Tier 1</t>
  </si>
  <si>
    <t>% of Payroll-Tier 2</t>
  </si>
  <si>
    <t>% of Payroll-Tier 3/PEPRA</t>
  </si>
  <si>
    <t>Total % of Payroll</t>
  </si>
  <si>
    <t>Projected Normal Cost with PEPRA Shift</t>
  </si>
  <si>
    <t>Normal Cost with Discount Rate Change</t>
  </si>
  <si>
    <t>SAFETY</t>
  </si>
  <si>
    <t>MISC</t>
  </si>
  <si>
    <t>Police Plan</t>
  </si>
  <si>
    <t>Safety-UAL-CalPERS Valuation (Police+Fire)</t>
  </si>
  <si>
    <t>Est Total Police Employer Rate as % of Payroll</t>
  </si>
  <si>
    <t>Est Total Fire Employer Rate as % of Payroll</t>
  </si>
  <si>
    <t>Est Total Misc Employer Rate as % of Payroll</t>
  </si>
  <si>
    <t>Cost Sharing-Police</t>
  </si>
  <si>
    <t>Cost Sharing-Fire</t>
  </si>
  <si>
    <t>Cost Sharing-Misc</t>
  </si>
  <si>
    <t>Composite Normal Cost Rate for Independent Plan</t>
  </si>
  <si>
    <t xml:space="preserve">   Total Available Balance</t>
  </si>
  <si>
    <t>estimated impact</t>
  </si>
  <si>
    <t>This section designed for California local agencies in CalPERS</t>
  </si>
  <si>
    <t>Pension Obligation Bonds</t>
  </si>
  <si>
    <t>POB-Fire</t>
  </si>
  <si>
    <t>POB-Misc</t>
  </si>
  <si>
    <t>POB-Police</t>
  </si>
  <si>
    <t>Population:</t>
  </si>
  <si>
    <t>Federal Revenue Loss Aid (per Capita, FY20)</t>
  </si>
  <si>
    <t>Bud/Est</t>
  </si>
  <si>
    <t xml:space="preserve">using your own city's data. Enter the amount of actual revenues </t>
  </si>
  <si>
    <t>This section is for creating a General Fund revenue forecast</t>
  </si>
  <si>
    <t xml:space="preserve">column G of this section. Any data already in the cells of this </t>
  </si>
  <si>
    <t xml:space="preserve">section are for example only: delete it and replace with your </t>
  </si>
  <si>
    <t>ALTERNATE GROWTH FACTOR</t>
  </si>
  <si>
    <t>selected if Salaries Option=1 -- computed from Data Worksheet tab -- includes COLAs, Merits, New FTE, turnover</t>
  </si>
  <si>
    <t>selected if Retirement Option=1 -- computed from Data Worksheet tab -- includes normal cost, unfunded liability, cost sharing, UAL prepayment discount, discount rate change and investment return scenarios</t>
  </si>
  <si>
    <t>selected if Capital Option=1 -- Includes direct expenditures to the General Fund, and any transfers to capital project funds.</t>
  </si>
  <si>
    <t>selected if Debt Service Option=1 -- includes direct expenditures to the General Fund, and any transfers to debt service funds.</t>
  </si>
  <si>
    <t>selected if Other Transfers Option=1 -- only include transfers that are not for capital projects or debt services; includes subsidies to special revenue funds or enmterprises that are not self-supporting.</t>
  </si>
  <si>
    <t>TEMPORARY O&amp;M COST CHANGES</t>
  </si>
  <si>
    <t>MAJOR REVENUE GROWTH</t>
  </si>
  <si>
    <t>Type of Change</t>
  </si>
  <si>
    <t>Computed</t>
  </si>
  <si>
    <t>EXPENDITURE GROWTH BY TYPE</t>
  </si>
  <si>
    <t>EXPENDITURE GROWTH OPTION</t>
  </si>
  <si>
    <t>Federal Aid Capped at FY20 loss (1) or not (0)</t>
  </si>
  <si>
    <t>This section is used for creating a General Fund expenditure forecast using your own city's data. Enter the amount of actual expenditures for the last two fiscal years, and the budget/estimate</t>
  </si>
  <si>
    <t xml:space="preserve">for FY 19/20 &amp; FY 20/21. FY 20/21 can be either fixed amounts, or growth on a FY20 base. Future expenditure growth is controlled by the growth rates in the Annual Growth in Baseline Expenditures </t>
  </si>
  <si>
    <t>section above. Variables are grayed out if not applicable to selected forecast option. Any data already in this section are for example only: delete them and replace with own city's data.</t>
  </si>
  <si>
    <t>Agency:</t>
  </si>
  <si>
    <t>Police Plan-Net Normal Cost-Tier 1</t>
  </si>
  <si>
    <t>Police Plan-Net Normal Cost-Tier 2</t>
  </si>
  <si>
    <t>Police Plan-Net Normal Cost-PEPRA</t>
  </si>
  <si>
    <t>Fire Plan-Net Normal Cost-Tier 1</t>
  </si>
  <si>
    <t>Fire Plan-Net Normal Cost-Tier 2</t>
  </si>
  <si>
    <t>Fire Plan-Net Normal Cost-PEPRA</t>
  </si>
  <si>
    <t>Misc Plan-Net Normal Cost-Tier 1</t>
  </si>
  <si>
    <t>Misc Plan-Net Normal Cost-Tier 2</t>
  </si>
  <si>
    <t>Misc Plan-Net Normal Cost-PEPRA</t>
  </si>
  <si>
    <t>leave blank</t>
  </si>
  <si>
    <t>Percent Below FY20 No-Recession Forecast</t>
  </si>
  <si>
    <t>Percent Below FY21 No-Recession Forecast</t>
  </si>
  <si>
    <t>Percent Below FY22 No-Recession Forecast</t>
  </si>
  <si>
    <t>intended to be changed by the user. Cells with formulas are protected</t>
  </si>
  <si>
    <t>&lt;&lt; Loss Options / Phase-out</t>
  </si>
  <si>
    <t>by password. Enter recession impact choices for FY 19/20, FY 20/21,</t>
  </si>
  <si>
    <t>and FY 21/22 in cells H21:J21 as follows:</t>
  </si>
  <si>
    <t>The user defines what constitutes a "severe" loss in each year (it can vary)</t>
  </si>
  <si>
    <t xml:space="preserve">and then pick the percent of serve represented by low, moderate and high. </t>
  </si>
  <si>
    <t xml:space="preserve">An impact of 0%  means that revenue source is back to No-Recession </t>
  </si>
  <si>
    <t xml:space="preserve">estimates. The phase-out variable (K21) determines the years it takes </t>
  </si>
  <si>
    <t xml:space="preserve">from FY 21/22 to return to the No-Recession levels (select 0-3 years). </t>
  </si>
  <si>
    <t>COVID</t>
  </si>
  <si>
    <t>NONE</t>
  </si>
  <si>
    <t>V</t>
  </si>
  <si>
    <t>U</t>
  </si>
  <si>
    <t>L</t>
  </si>
  <si>
    <t>W</t>
  </si>
  <si>
    <t>% of Cut Applied to No-Recession Forecast</t>
  </si>
  <si>
    <t>Use FY21 Budget Amts (0) or use Growth Calcs to Create FY21 Rev/Exp (1)</t>
  </si>
  <si>
    <t>Copyright and Restricted Distribution</t>
  </si>
  <si>
    <t>A</t>
  </si>
  <si>
    <t>Fire Plan-City Pickup-Tier 1</t>
  </si>
  <si>
    <t>Fire Plan-City Pickup-Tier 2</t>
  </si>
  <si>
    <t>Fire Plan-City Pickup-PEPRA</t>
  </si>
  <si>
    <t>Misc Plan-City Pickup-Tier 1</t>
  </si>
  <si>
    <t>Misc Plan-City Pickup-Tier 2</t>
  </si>
  <si>
    <t>Misc Plan-City Pickup-PEPRA</t>
  </si>
  <si>
    <t>Police Plan-City Pickup-Tier 1</t>
  </si>
  <si>
    <t>Police Plan-City Pickup-Tier 2</t>
  </si>
  <si>
    <t>Police Plan-City Pickup-PEPRA</t>
  </si>
  <si>
    <t>Kenmore, WA</t>
  </si>
  <si>
    <t>FY 20</t>
  </si>
  <si>
    <t>FY 21</t>
  </si>
  <si>
    <t>FY 22</t>
  </si>
  <si>
    <t>FY 23</t>
  </si>
  <si>
    <t>FY 24</t>
  </si>
  <si>
    <t>FY 25</t>
  </si>
  <si>
    <t>FY 18</t>
  </si>
  <si>
    <t>FY 19</t>
  </si>
  <si>
    <t xml:space="preserve">FY 20 &amp; FY 21 BEFORE recession losses. Starting FY 22, </t>
  </si>
  <si>
    <t>FY 26</t>
  </si>
  <si>
    <t>FY 27</t>
  </si>
  <si>
    <t>Local Sales Tax</t>
  </si>
  <si>
    <t>Utility Tax</t>
  </si>
  <si>
    <t>B&amp;O Tax</t>
  </si>
  <si>
    <t>Gambling Tax</t>
  </si>
  <si>
    <t>Telecom Franchise Fees</t>
  </si>
  <si>
    <t>Water/Sewer Franchise Fees</t>
  </si>
  <si>
    <t>Charges for Services (Other)</t>
  </si>
  <si>
    <t>Fines and forfeitures</t>
  </si>
  <si>
    <t>Rental income</t>
  </si>
  <si>
    <t>Other financing sources</t>
  </si>
  <si>
    <t>Reimbursements</t>
  </si>
  <si>
    <t>011-CITY COUNCIL</t>
  </si>
  <si>
    <t>012-CITY CLERK</t>
  </si>
  <si>
    <t>013-CITY MANAGER</t>
  </si>
  <si>
    <t>014-FINANCE</t>
  </si>
  <si>
    <t>015-LEGAL</t>
  </si>
  <si>
    <t>019-NON-DEPARTMENT TRANSFERS</t>
  </si>
  <si>
    <t>021-PUBLIC SAFETY</t>
  </si>
  <si>
    <t>032-ENGINEERING</t>
  </si>
  <si>
    <t>058-COMMUNITY DEVELOPMENT</t>
  </si>
  <si>
    <t>059-DEVELOPMENT SERVICES</t>
  </si>
  <si>
    <t>076-PARKS &amp; FACILITY MAINTENANCE</t>
  </si>
  <si>
    <t>000-NO DEPT.</t>
  </si>
  <si>
    <t>10-TRANSPORTATION</t>
  </si>
  <si>
    <t>Contracted police services</t>
  </si>
  <si>
    <t>Contracted Police Services</t>
  </si>
  <si>
    <t>Debt services for new maintenance facilities</t>
  </si>
  <si>
    <t>Streets Fund transfers</t>
  </si>
  <si>
    <t>Item 1</t>
  </si>
  <si>
    <t>Ongoing capital outlay</t>
  </si>
  <si>
    <t>Fleet equipment replacement</t>
  </si>
  <si>
    <t>Juanita Drive and 68th Ave</t>
  </si>
  <si>
    <t>Log Boom and Squire's Landing</t>
  </si>
  <si>
    <t>Annual Expenditure Savings</t>
  </si>
  <si>
    <t>Annual %</t>
  </si>
  <si>
    <t>Annual expenditure savings</t>
  </si>
  <si>
    <t>Number of Years for Cuts to go into effect</t>
  </si>
  <si>
    <t>City of Kenmore</t>
  </si>
  <si>
    <t>Budget Reduction Strategies</t>
  </si>
  <si>
    <t>Ballfields/parks lease</t>
  </si>
  <si>
    <t>Cost allocation plan</t>
  </si>
  <si>
    <t>Log Boom and Squires Landing park facilities maintenance</t>
  </si>
  <si>
    <t>Low-Moderate</t>
  </si>
  <si>
    <t>Moderate-High</t>
  </si>
  <si>
    <t>Alternative jail provider</t>
  </si>
  <si>
    <t xml:space="preserve">Fleet maintenance </t>
  </si>
  <si>
    <t>Parks capital maintenance reduction</t>
  </si>
  <si>
    <t>N/A</t>
  </si>
  <si>
    <t>Revenue - Councilmanic</t>
  </si>
  <si>
    <t>Utility tax</t>
  </si>
  <si>
    <t>Photo traffic enforcement</t>
  </si>
  <si>
    <t>Property tax - exercise banked capacity</t>
  </si>
  <si>
    <t>Admissions tax</t>
  </si>
  <si>
    <t>User fee study</t>
  </si>
  <si>
    <t>Revenue - Voters</t>
  </si>
  <si>
    <t>Levy lid lift</t>
  </si>
  <si>
    <t>Sales tax - 0.2%</t>
  </si>
  <si>
    <t>Metropolitan park district</t>
  </si>
  <si>
    <t>Take no action</t>
  </si>
  <si>
    <t>None</t>
  </si>
  <si>
    <t>General fund services/staffing reductions</t>
  </si>
  <si>
    <t>Street pavement standards</t>
  </si>
  <si>
    <t>Travel, meetings, consulting</t>
  </si>
  <si>
    <t>#</t>
  </si>
  <si>
    <t>Strategy</t>
  </si>
  <si>
    <t>Amount</t>
  </si>
  <si>
    <t>Success Factor</t>
  </si>
  <si>
    <t>Select (x)</t>
  </si>
  <si>
    <t>Year (XX)</t>
  </si>
  <si>
    <t>Expenditure controls</t>
  </si>
  <si>
    <t>Service reductions</t>
  </si>
  <si>
    <t>Strategies by Category</t>
  </si>
  <si>
    <t>Total Revenue Enhancements</t>
  </si>
  <si>
    <t>Service delivery changes</t>
  </si>
  <si>
    <t>Total Expenditure Reductions</t>
  </si>
  <si>
    <t>Total Budget Strategies</t>
  </si>
  <si>
    <t>Growth Factor</t>
  </si>
  <si>
    <t>Reorganization of City departments</t>
  </si>
  <si>
    <t>Fiscal Gap Post-Recession</t>
  </si>
  <si>
    <t>Budget Strategies</t>
  </si>
  <si>
    <t>PY reserves</t>
  </si>
  <si>
    <t>Updated Year-End Reserves</t>
  </si>
  <si>
    <t>Reserve Goal</t>
  </si>
  <si>
    <t>Fiscal Gap After Budget Strategies</t>
  </si>
  <si>
    <t>Recreation and volunteer coordination</t>
  </si>
  <si>
    <t>Phase Period</t>
  </si>
  <si>
    <t>Eliminate SRO program</t>
  </si>
  <si>
    <t>Fiscal Gap - Scenario 1</t>
  </si>
  <si>
    <t>x</t>
  </si>
  <si>
    <t>General Fund Reserves - Scenario 1</t>
  </si>
  <si>
    <t>Fiscal Gap - Scenario 2</t>
  </si>
  <si>
    <t>General Fund Reserves - Scenario 2</t>
  </si>
  <si>
    <t>Fiscal Gap - Scenario 3</t>
  </si>
  <si>
    <t>General Fund Reserves - Scenario 3</t>
  </si>
  <si>
    <t>Fiscal Gap - Scenario 4</t>
  </si>
  <si>
    <t>General Fund Reserves - Scenario 4</t>
  </si>
  <si>
    <t>version 1.8.7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</si>
</sst>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0.0%;[Red]\(#0.0%\)"/>
    <numFmt numFmtId="167" formatCode="&quot;Chng FY&quot;0"/>
    <numFmt numFmtId="168" formatCode="&quot;FY &quot;0"/>
    <numFmt numFmtId="169" formatCode="&quot;$&quot;#,##0.00&quot;M&quot;"/>
    <numFmt numFmtId="170" formatCode="&quot;$&quot;#,##0.0&quot;M&quot;"/>
    <numFmt numFmtId="171" formatCode="[$-409]mmm\-yy;@"/>
    <numFmt numFmtId="172" formatCode="&quot;$&quot;#,##0.000&quot;M&quot;"/>
    <numFmt numFmtId="173" formatCode="&quot;Revised: &quot;m/d/yyyy"/>
    <numFmt numFmtId="174" formatCode="_(* #,##0.0_);_(* \(#,##0.0\);_(* &quot;-&quot;??_);_(@_)"/>
    <numFmt numFmtId="175" formatCode="mmm\-yyyy"/>
    <numFmt numFmtId="176" formatCode="0.00%;[Red]\-#0.00%"/>
    <numFmt numFmtId="177" formatCode="&quot;$&quot;#,##0.00"/>
    <numFmt numFmtId="178" formatCode="0\ &quot;yrs&quot;"/>
    <numFmt numFmtId="179" formatCode="0.000%"/>
    <numFmt numFmtId="180" formatCode="&quot;$&quot;#,##0.000"/>
    <numFmt numFmtId="181" formatCode="&quot;$&quot;#,##0.0000&quot;M&quot;"/>
    <numFmt numFmtId="182" formatCode="_(&quot;$&quot;* #,##0_);_(&quot;$&quot;* \(#,##0\);_(&quot;$&quot;* &quot;-&quot;??_);_(@_)"/>
  </numFmts>
  <fonts count="5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
      <name val="Calibri"/>
      <family val="2"/>
      <scheme val="minor"/>
    </font>
    <font>
      <sz val="8"/>
      <name val="Calibri"/>
      <family val="2"/>
      <scheme val="minor"/>
    </font>
    <font>
      <b/>
      <u/>
      <sz val="11"/>
      <color theme="1"/>
      <name val="Calibri"/>
      <family val="2"/>
      <scheme val="minor"/>
    </font>
    <font>
      <sz val="11"/>
      <color rgb="FF7030A0"/>
      <name val="Calibri"/>
      <family val="2"/>
      <scheme val="minor"/>
    </font>
    <font>
      <b/>
      <sz val="12"/>
      <color theme="1"/>
      <name val="Calibri"/>
      <family val="2"/>
      <scheme val="minor"/>
    </font>
    <font>
      <sz val="11"/>
      <name val="Calibri"/>
      <family val="2"/>
      <scheme val="minor"/>
    </font>
    <font>
      <b/>
      <sz val="12"/>
      <color theme="0"/>
      <name val="Calibri"/>
      <family val="2"/>
      <scheme val="minor"/>
    </font>
    <font>
      <b/>
      <u/>
      <sz val="11"/>
      <color theme="0"/>
      <name val="Calibri"/>
      <family val="2"/>
      <scheme val="minor"/>
    </font>
    <font>
      <u/>
      <sz val="11"/>
      <name val="Calibri"/>
      <family val="2"/>
      <scheme val="minor"/>
    </font>
    <font>
      <sz val="9"/>
      <color indexed="81"/>
      <name val="Tahoma"/>
      <family val="2"/>
    </font>
    <font>
      <b/>
      <sz val="9"/>
      <color indexed="81"/>
      <name val="Tahoma"/>
      <family val="2"/>
    </font>
    <font>
      <b/>
      <sz val="11"/>
      <color rgb="FFFF0000"/>
      <name val="Calibri"/>
      <family val="2"/>
      <scheme val="minor"/>
    </font>
    <font>
      <sz val="11"/>
      <color theme="4"/>
      <name val="Calibri"/>
      <family val="2"/>
      <scheme val="minor"/>
    </font>
    <font>
      <i/>
      <sz val="11"/>
      <color theme="4"/>
      <name val="Calibri"/>
      <family val="2"/>
      <scheme val="minor"/>
    </font>
    <font>
      <sz val="11"/>
      <color rgb="FF0000FF"/>
      <name val="Calibri"/>
      <family val="2"/>
      <scheme val="minor"/>
    </font>
    <font>
      <b/>
      <sz val="12"/>
      <color rgb="FFFF0000"/>
      <name val="Calibri"/>
      <family val="2"/>
      <scheme val="minor"/>
    </font>
    <font>
      <b/>
      <sz val="13"/>
      <color rgb="FFFF0000"/>
      <name val="Calibri"/>
      <family val="2"/>
      <scheme val="minor"/>
    </font>
    <font>
      <sz val="11.5"/>
      <color theme="1"/>
      <name val="Arial Narrow"/>
      <family val="2"/>
    </font>
    <font>
      <b/>
      <sz val="11"/>
      <color theme="0"/>
      <name val="Calibri"/>
      <family val="2"/>
      <scheme val="minor"/>
    </font>
    <font>
      <b/>
      <sz val="11"/>
      <color rgb="FF0000FF"/>
      <name val="Calibri"/>
      <family val="2"/>
      <scheme val="minor"/>
    </font>
    <font>
      <i/>
      <sz val="11"/>
      <color rgb="FF0000FF"/>
      <name val="Calibri"/>
      <family val="2"/>
      <scheme val="minor"/>
    </font>
    <font>
      <i/>
      <sz val="11"/>
      <color rgb="FF0000FF"/>
      <name val="Arial Narrow"/>
      <family val="2"/>
    </font>
    <font>
      <sz val="10.5"/>
      <color rgb="FF0000FF"/>
      <name val="Calibri"/>
      <family val="2"/>
      <scheme val="minor"/>
    </font>
    <font>
      <i/>
      <sz val="11"/>
      <color rgb="FF0066FF"/>
      <name val="Calibri"/>
      <family val="2"/>
      <scheme val="minor"/>
    </font>
    <font>
      <sz val="11"/>
      <color rgb="FFFF0066"/>
      <name val="Calibri"/>
      <family val="2"/>
      <scheme val="minor"/>
    </font>
    <font>
      <b/>
      <i/>
      <sz val="11.5"/>
      <color rgb="FF0000FF"/>
      <name val="Calibri"/>
      <family val="2"/>
      <scheme val="minor"/>
    </font>
    <font>
      <sz val="11"/>
      <color rgb="FFC00000"/>
      <name val="Calibri"/>
      <family val="2"/>
      <scheme val="minor"/>
    </font>
    <font>
      <b/>
      <i/>
      <sz val="11"/>
      <color rgb="FF0000FF"/>
      <name val="Calibri"/>
      <family val="2"/>
      <scheme val="minor"/>
    </font>
    <font>
      <sz val="14"/>
      <color theme="1"/>
      <name val="Calibri"/>
      <family val="2"/>
      <scheme val="minor"/>
    </font>
    <font>
      <sz val="12"/>
      <color rgb="FF252525"/>
      <name val="Arial"/>
      <family val="2"/>
    </font>
    <font>
      <b/>
      <sz val="11"/>
      <name val="Calibri"/>
      <family val="2"/>
      <scheme val="minor"/>
    </font>
    <font>
      <u/>
      <sz val="11"/>
      <name val="Arial Narrow"/>
      <family val="2"/>
    </font>
    <font>
      <b/>
      <sz val="9"/>
      <color rgb="FF000000"/>
      <name val="Calibri"/>
      <family val="2"/>
    </font>
    <font>
      <sz val="11"/>
      <color theme="0"/>
      <name val="Calibri"/>
      <family val="2"/>
      <scheme val="minor"/>
    </font>
    <font>
      <u/>
      <sz val="9"/>
      <color indexed="81"/>
      <name val="Tahoma"/>
      <family val="2"/>
    </font>
    <font>
      <sz val="13"/>
      <color theme="1"/>
      <name val="Calibri"/>
      <family val="2"/>
      <scheme val="minor"/>
    </font>
    <font>
      <sz val="10"/>
      <color indexed="8"/>
      <name val="Arial"/>
      <family val="2"/>
    </font>
    <font>
      <b/>
      <vertAlign val="superscript"/>
      <sz val="11"/>
      <color theme="1"/>
      <name val="Calibri"/>
      <family val="2"/>
      <scheme val="minor"/>
    </font>
    <font>
      <vertAlign val="superscript"/>
      <sz val="11"/>
      <color theme="1"/>
      <name val="Calibri"/>
      <family val="2"/>
      <scheme val="minor"/>
    </font>
    <font>
      <sz val="10"/>
      <name val="Arial"/>
      <family val="2"/>
    </font>
    <font>
      <sz val="12"/>
      <name val="Arial MT"/>
    </font>
    <font>
      <sz val="11"/>
      <color theme="9" tint="-0.24994659260841701"/>
      <name val="Calibri"/>
      <family val="2"/>
      <scheme val="minor"/>
    </font>
    <font>
      <sz val="11"/>
      <color theme="1"/>
      <name val="Arial Narrow"/>
      <family val="2"/>
    </font>
    <font>
      <sz val="10"/>
      <color indexed="8"/>
      <name val="Calibri"/>
      <family val="2"/>
      <scheme val="minor"/>
    </font>
    <font>
      <b/>
      <sz val="10"/>
      <color indexed="8"/>
      <name val="Calibri"/>
      <family val="2"/>
      <scheme val="minor"/>
    </font>
    <font>
      <sz val="10"/>
      <name val="Calibri"/>
      <family val="2"/>
      <scheme val="minor"/>
    </font>
    <font>
      <sz val="11"/>
      <color theme="9" tint="-0.499984740745262"/>
      <name val="Calibri"/>
      <family val="2"/>
      <scheme val="minor"/>
    </font>
    <font>
      <sz val="20"/>
      <color theme="1"/>
      <name val="Calibri"/>
      <family val="2"/>
      <scheme val="minor"/>
    </font>
    <font>
      <b/>
      <sz val="22"/>
      <color theme="1"/>
      <name val="Calibri"/>
      <family val="2"/>
      <scheme val="minor"/>
    </font>
    <font>
      <i/>
      <sz val="11"/>
      <color theme="1"/>
      <name val="Calibri"/>
      <family val="2"/>
      <scheme val="minor"/>
    </font>
    <font>
      <b/>
      <sz val="11"/>
      <color theme="0" tint="-0.499984740745262"/>
      <name val="Calibri"/>
      <family val="2"/>
      <scheme val="minor"/>
    </font>
    <font>
      <sz val="11"/>
      <color theme="0" tint="-0.499984740745262"/>
      <name val="Calibri"/>
      <family val="2"/>
      <scheme val="minor"/>
    </font>
    <font>
      <sz val="10"/>
      <color indexed="81"/>
      <name val="Tahoma"/>
      <family val="2"/>
    </font>
    <font>
      <b/>
      <sz val="10"/>
      <color indexed="81"/>
      <name val="Tahoma"/>
      <family val="2"/>
    </font>
  </fonts>
  <fills count="18">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E7E7"/>
        <bgColor indexed="64"/>
      </patternFill>
    </fill>
    <fill>
      <patternFill patternType="solid">
        <fgColor rgb="FFECF4FA"/>
        <bgColor indexed="64"/>
      </patternFill>
    </fill>
    <fill>
      <patternFill patternType="solid">
        <fgColor theme="7" tint="0.59999389629810485"/>
        <bgColor indexed="64"/>
      </patternFill>
    </fill>
    <fill>
      <patternFill patternType="solid">
        <fgColor theme="4" tint="-0.249977111117893"/>
        <bgColor indexed="64"/>
      </patternFill>
    </fill>
    <fill>
      <patternFill patternType="gray125">
        <bgColor theme="7" tint="0.79995117038483843"/>
      </patternFill>
    </fill>
    <fill>
      <patternFill patternType="gray125">
        <bgColor theme="0"/>
      </patternFill>
    </fill>
    <fill>
      <patternFill patternType="gray125">
        <bgColor theme="7" tint="0.79998168889431442"/>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CC"/>
        <bgColor indexed="64"/>
      </patternFill>
    </fill>
    <fill>
      <patternFill patternType="solid">
        <fgColor theme="4"/>
        <bgColor theme="4"/>
      </patternFill>
    </fill>
    <fill>
      <patternFill patternType="solid">
        <fgColor theme="4" tint="0.79998168889431442"/>
        <bgColor theme="4" tint="0.79998168889431442"/>
      </patternFill>
    </fill>
  </fills>
  <borders count="69">
    <border>
      <left/>
      <right/>
      <top/>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indexed="64"/>
      </bottom>
      <diagonal/>
    </border>
    <border>
      <left style="thin">
        <color auto="1"/>
      </left>
      <right/>
      <top style="thin">
        <color auto="1"/>
      </top>
      <bottom style="thin">
        <color auto="1"/>
      </bottom>
      <diagonal/>
    </border>
    <border>
      <left/>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medium">
        <color indexed="64"/>
      </bottom>
      <diagonal/>
    </border>
    <border>
      <left style="medium">
        <color auto="1"/>
      </left>
      <right/>
      <top style="thin">
        <color indexed="64"/>
      </top>
      <bottom style="double">
        <color indexed="64"/>
      </bottom>
      <diagonal/>
    </border>
    <border>
      <left style="medium">
        <color indexed="64"/>
      </left>
      <right style="medium">
        <color indexed="64"/>
      </right>
      <top style="thin">
        <color indexed="64"/>
      </top>
      <bottom/>
      <diagonal/>
    </border>
    <border>
      <left/>
      <right style="thin">
        <color auto="1"/>
      </right>
      <top style="thin">
        <color auto="1"/>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medium">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medium">
        <color auto="1"/>
      </right>
      <top/>
      <bottom style="medium">
        <color indexed="64"/>
      </bottom>
      <diagonal/>
    </border>
    <border>
      <left style="hair">
        <color auto="1"/>
      </left>
      <right style="medium">
        <color indexed="64"/>
      </right>
      <top style="thin">
        <color auto="1"/>
      </top>
      <bottom style="medium">
        <color indexed="64"/>
      </bottom>
      <diagonal/>
    </border>
    <border>
      <left style="hair">
        <color auto="1"/>
      </left>
      <right style="medium">
        <color indexed="64"/>
      </right>
      <top style="thin">
        <color auto="1"/>
      </top>
      <bottom style="thin">
        <color auto="1"/>
      </bottom>
      <diagonal/>
    </border>
    <border>
      <left style="hair">
        <color auto="1"/>
      </left>
      <right style="medium">
        <color indexed="64"/>
      </right>
      <top/>
      <bottom style="medium">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style="hair">
        <color auto="1"/>
      </left>
      <right/>
      <top style="thin">
        <color auto="1"/>
      </top>
      <bottom style="thin">
        <color indexed="64"/>
      </bottom>
      <diagonal/>
    </border>
    <border>
      <left/>
      <right style="hair">
        <color auto="1"/>
      </right>
      <top style="thin">
        <color auto="1"/>
      </top>
      <bottom style="thin">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thin">
        <color auto="1"/>
      </bottom>
      <diagonal/>
    </border>
    <border>
      <left style="thick">
        <color indexed="64"/>
      </left>
      <right style="medium">
        <color indexed="64"/>
      </right>
      <top style="thin">
        <color indexed="64"/>
      </top>
      <bottom style="thin">
        <color auto="1"/>
      </bottom>
      <diagonal/>
    </border>
    <border>
      <left style="thick">
        <color indexed="64"/>
      </left>
      <right style="medium">
        <color indexed="64"/>
      </right>
      <top/>
      <bottom style="medium">
        <color indexed="64"/>
      </bottom>
      <diagonal/>
    </border>
    <border>
      <left style="medium">
        <color indexed="64"/>
      </left>
      <right/>
      <top style="thin">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indexed="64"/>
      </top>
      <bottom/>
      <diagonal/>
    </border>
    <border>
      <left/>
      <right style="thin">
        <color theme="4" tint="0.39997558519241921"/>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0" fillId="0" borderId="0">
      <alignment vertical="top"/>
    </xf>
    <xf numFmtId="43" fontId="43" fillId="0" borderId="0" applyFont="0" applyFill="0" applyBorder="0" applyAlignment="0" applyProtection="0"/>
    <xf numFmtId="0" fontId="1" fillId="0" borderId="0"/>
    <xf numFmtId="0" fontId="40" fillId="0" borderId="0">
      <alignment vertical="top"/>
    </xf>
    <xf numFmtId="9" fontId="44"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638">
    <xf numFmtId="0" fontId="0" fillId="0" borderId="0" xfId="0"/>
    <xf numFmtId="0" fontId="3" fillId="0" borderId="0" xfId="0" applyFont="1"/>
    <xf numFmtId="7" fontId="0" fillId="0" borderId="0" xfId="0" applyNumberFormat="1"/>
    <xf numFmtId="0" fontId="6" fillId="0" borderId="0" xfId="0" applyFont="1" applyAlignment="1">
      <alignment horizontal="center"/>
    </xf>
    <xf numFmtId="10" fontId="0" fillId="0" borderId="0" xfId="2" applyNumberFormat="1" applyFont="1"/>
    <xf numFmtId="10" fontId="0" fillId="0" borderId="0" xfId="0" applyNumberFormat="1"/>
    <xf numFmtId="10" fontId="0" fillId="2" borderId="0" xfId="0" applyNumberFormat="1" applyFill="1"/>
    <xf numFmtId="6" fontId="0" fillId="0" borderId="0" xfId="0" applyNumberFormat="1"/>
    <xf numFmtId="6" fontId="0" fillId="0" borderId="0" xfId="1" applyNumberFormat="1" applyFont="1"/>
    <xf numFmtId="166" fontId="0" fillId="0" borderId="0" xfId="2" applyNumberFormat="1" applyFont="1"/>
    <xf numFmtId="10" fontId="0" fillId="0" borderId="1" xfId="2" applyNumberFormat="1" applyFont="1" applyBorder="1"/>
    <xf numFmtId="0" fontId="0" fillId="0" borderId="6" xfId="0" applyFill="1" applyBorder="1"/>
    <xf numFmtId="0" fontId="0" fillId="4" borderId="0" xfId="0" applyFill="1"/>
    <xf numFmtId="10" fontId="0" fillId="4" borderId="0" xfId="2" applyNumberFormat="1" applyFont="1" applyFill="1"/>
    <xf numFmtId="10" fontId="0" fillId="0" borderId="0" xfId="2" applyNumberFormat="1" applyFont="1" applyBorder="1"/>
    <xf numFmtId="10" fontId="17" fillId="0" borderId="0" xfId="2" applyNumberFormat="1" applyFont="1" applyBorder="1"/>
    <xf numFmtId="10" fontId="15" fillId="2" borderId="29" xfId="2" applyNumberFormat="1" applyFont="1" applyFill="1" applyBorder="1" applyAlignment="1" applyProtection="1">
      <alignment horizontal="center"/>
      <protection locked="0"/>
    </xf>
    <xf numFmtId="10" fontId="15" fillId="2" borderId="2" xfId="2" applyNumberFormat="1" applyFont="1" applyFill="1" applyBorder="1" applyAlignment="1" applyProtection="1">
      <alignment horizontal="right" indent="2"/>
      <protection locked="0"/>
    </xf>
    <xf numFmtId="10" fontId="15" fillId="2" borderId="27" xfId="2" applyNumberFormat="1" applyFont="1" applyFill="1" applyBorder="1" applyAlignment="1" applyProtection="1">
      <alignment horizontal="right" indent="2"/>
      <protection locked="0"/>
    </xf>
    <xf numFmtId="10" fontId="15" fillId="2" borderId="30" xfId="2" applyNumberFormat="1" applyFont="1" applyFill="1" applyBorder="1" applyAlignment="1" applyProtection="1">
      <alignment horizontal="right" indent="2"/>
      <protection locked="0"/>
    </xf>
    <xf numFmtId="10" fontId="15" fillId="2" borderId="11" xfId="2" applyNumberFormat="1" applyFont="1" applyFill="1" applyBorder="1" applyAlignment="1" applyProtection="1">
      <alignment horizontal="right" indent="2"/>
      <protection locked="0"/>
    </xf>
    <xf numFmtId="10" fontId="15" fillId="2" borderId="13" xfId="2" applyNumberFormat="1" applyFont="1" applyFill="1" applyBorder="1" applyAlignment="1" applyProtection="1">
      <alignment horizontal="center"/>
      <protection locked="0"/>
    </xf>
    <xf numFmtId="169" fontId="15" fillId="2" borderId="2" xfId="2" applyNumberFormat="1" applyFont="1" applyFill="1" applyBorder="1" applyAlignment="1" applyProtection="1">
      <alignment horizontal="center"/>
      <protection locked="0"/>
    </xf>
    <xf numFmtId="0" fontId="3" fillId="0" borderId="0" xfId="0" applyFont="1" applyAlignment="1"/>
    <xf numFmtId="170" fontId="0" fillId="4" borderId="0" xfId="0" applyNumberFormat="1" applyFill="1" applyAlignment="1" applyProtection="1">
      <alignment horizontal="left"/>
    </xf>
    <xf numFmtId="0" fontId="12" fillId="4" borderId="0" xfId="0" applyFont="1" applyFill="1" applyAlignment="1" applyProtection="1">
      <alignment horizontal="center"/>
    </xf>
    <xf numFmtId="0" fontId="9" fillId="4" borderId="0" xfId="0" applyFont="1" applyFill="1" applyAlignment="1" applyProtection="1">
      <alignment horizontal="center"/>
    </xf>
    <xf numFmtId="6" fontId="0" fillId="4" borderId="0" xfId="0" applyNumberFormat="1" applyFill="1" applyProtection="1"/>
    <xf numFmtId="0" fontId="0" fillId="4" borderId="0" xfId="1" applyNumberFormat="1" applyFont="1" applyFill="1" applyAlignment="1" applyProtection="1">
      <alignment horizontal="center"/>
    </xf>
    <xf numFmtId="0" fontId="0" fillId="4" borderId="0" xfId="0" applyFill="1" applyProtection="1"/>
    <xf numFmtId="0" fontId="0" fillId="4" borderId="23" xfId="0" applyFill="1" applyBorder="1" applyAlignment="1" applyProtection="1">
      <alignment horizontal="center"/>
    </xf>
    <xf numFmtId="0" fontId="4" fillId="4" borderId="0" xfId="0" applyFont="1" applyFill="1" applyAlignment="1" applyProtection="1">
      <alignment horizontal="center"/>
    </xf>
    <xf numFmtId="38" fontId="0" fillId="4" borderId="31" xfId="1" applyNumberFormat="1" applyFont="1" applyFill="1" applyBorder="1" applyProtection="1"/>
    <xf numFmtId="38" fontId="0" fillId="4" borderId="0" xfId="1" applyNumberFormat="1" applyFont="1" applyFill="1" applyProtection="1"/>
    <xf numFmtId="164" fontId="0" fillId="8" borderId="32" xfId="1" applyNumberFormat="1" applyFont="1" applyFill="1" applyBorder="1" applyAlignment="1" applyProtection="1">
      <alignment horizontal="center"/>
    </xf>
    <xf numFmtId="0" fontId="0" fillId="3" borderId="0" xfId="0" applyFill="1" applyAlignment="1" applyProtection="1">
      <alignment horizontal="center"/>
    </xf>
    <xf numFmtId="0" fontId="0" fillId="8" borderId="0" xfId="0" applyFill="1" applyAlignment="1" applyProtection="1">
      <alignment horizontal="center"/>
    </xf>
    <xf numFmtId="170" fontId="20" fillId="6" borderId="0" xfId="0" applyNumberFormat="1" applyFont="1" applyFill="1" applyAlignment="1" applyProtection="1">
      <alignment horizontal="center" vertical="center"/>
    </xf>
    <xf numFmtId="0" fontId="0" fillId="5" borderId="26" xfId="0" applyFill="1" applyBorder="1" applyProtection="1"/>
    <xf numFmtId="165" fontId="0" fillId="3" borderId="0" xfId="2" applyNumberFormat="1" applyFont="1" applyFill="1" applyProtection="1"/>
    <xf numFmtId="10" fontId="15" fillId="2" borderId="47" xfId="2" applyNumberFormat="1" applyFont="1" applyFill="1" applyBorder="1" applyAlignment="1" applyProtection="1">
      <alignment horizontal="right" indent="2"/>
      <protection locked="0"/>
    </xf>
    <xf numFmtId="10" fontId="15" fillId="2" borderId="48" xfId="2" applyNumberFormat="1" applyFont="1" applyFill="1" applyBorder="1" applyAlignment="1" applyProtection="1">
      <alignment horizontal="right" indent="2"/>
      <protection locked="0"/>
    </xf>
    <xf numFmtId="169" fontId="15" fillId="2" borderId="12" xfId="2" applyNumberFormat="1" applyFont="1" applyFill="1" applyBorder="1" applyAlignment="1" applyProtection="1">
      <alignment horizontal="center"/>
      <protection locked="0"/>
    </xf>
    <xf numFmtId="10" fontId="15" fillId="2" borderId="12" xfId="2" applyNumberFormat="1" applyFont="1" applyFill="1" applyBorder="1" applyAlignment="1" applyProtection="1">
      <alignment horizontal="center"/>
      <protection locked="0"/>
    </xf>
    <xf numFmtId="178" fontId="15" fillId="2" borderId="29" xfId="0" applyNumberFormat="1" applyFont="1" applyFill="1" applyBorder="1" applyAlignment="1" applyProtection="1">
      <alignment horizontal="center"/>
      <protection locked="0"/>
    </xf>
    <xf numFmtId="169" fontId="15" fillId="2" borderId="27" xfId="2" applyNumberFormat="1" applyFont="1" applyFill="1" applyBorder="1" applyAlignment="1" applyProtection="1">
      <alignment horizontal="center"/>
      <protection locked="0"/>
    </xf>
    <xf numFmtId="10" fontId="15" fillId="2" borderId="46" xfId="2" applyNumberFormat="1" applyFont="1" applyFill="1" applyBorder="1" applyAlignment="1" applyProtection="1">
      <alignment horizontal="right" indent="2"/>
      <protection locked="0"/>
    </xf>
    <xf numFmtId="169" fontId="15" fillId="2" borderId="38" xfId="0" applyNumberFormat="1" applyFont="1" applyFill="1" applyBorder="1" applyAlignment="1" applyProtection="1">
      <alignment horizontal="right" indent="1"/>
      <protection locked="0"/>
    </xf>
    <xf numFmtId="10" fontId="15" fillId="2" borderId="49" xfId="2" applyNumberFormat="1" applyFont="1" applyFill="1" applyBorder="1" applyAlignment="1" applyProtection="1">
      <alignment horizontal="right" indent="2"/>
      <protection locked="0"/>
    </xf>
    <xf numFmtId="169" fontId="15" fillId="2" borderId="49" xfId="0" applyNumberFormat="1" applyFont="1" applyFill="1" applyBorder="1" applyAlignment="1" applyProtection="1">
      <alignment horizontal="right" indent="1"/>
      <protection locked="0"/>
    </xf>
    <xf numFmtId="10" fontId="15" fillId="2" borderId="38" xfId="2" applyNumberFormat="1" applyFont="1" applyFill="1" applyBorder="1" applyAlignment="1" applyProtection="1">
      <alignment horizontal="right" indent="2"/>
      <protection locked="0"/>
    </xf>
    <xf numFmtId="4" fontId="15" fillId="2" borderId="38" xfId="2" applyNumberFormat="1" applyFont="1" applyFill="1" applyBorder="1" applyAlignment="1" applyProtection="1">
      <alignment horizontal="right" indent="2"/>
      <protection locked="0"/>
    </xf>
    <xf numFmtId="179" fontId="15" fillId="2" borderId="38" xfId="2" applyNumberFormat="1" applyFont="1" applyFill="1" applyBorder="1" applyAlignment="1" applyProtection="1">
      <alignment horizontal="right" indent="1"/>
      <protection locked="0"/>
    </xf>
    <xf numFmtId="0" fontId="0" fillId="4" borderId="0" xfId="0" applyFill="1" applyBorder="1" applyAlignment="1" applyProtection="1">
      <alignment horizontal="center"/>
    </xf>
    <xf numFmtId="10" fontId="15" fillId="2" borderId="12" xfId="2" applyNumberFormat="1" applyFont="1" applyFill="1" applyBorder="1" applyAlignment="1" applyProtection="1">
      <alignment horizontal="right" indent="2"/>
      <protection locked="0"/>
    </xf>
    <xf numFmtId="10" fontId="15" fillId="2" borderId="29" xfId="2" applyNumberFormat="1" applyFont="1" applyFill="1" applyBorder="1" applyAlignment="1" applyProtection="1">
      <alignment horizontal="right" indent="2"/>
      <protection locked="0"/>
    </xf>
    <xf numFmtId="0" fontId="0" fillId="5" borderId="21" xfId="0" applyFill="1" applyBorder="1" applyProtection="1"/>
    <xf numFmtId="0" fontId="18" fillId="5" borderId="26" xfId="0" applyFont="1" applyFill="1" applyBorder="1" applyAlignment="1" applyProtection="1">
      <alignment horizontal="left"/>
    </xf>
    <xf numFmtId="169" fontId="15" fillId="2" borderId="16" xfId="2" applyNumberFormat="1" applyFont="1" applyFill="1" applyBorder="1" applyAlignment="1" applyProtection="1">
      <alignment horizontal="center"/>
      <protection locked="0"/>
    </xf>
    <xf numFmtId="168" fontId="15" fillId="2" borderId="13" xfId="2" applyNumberFormat="1" applyFont="1" applyFill="1" applyBorder="1" applyAlignment="1" applyProtection="1">
      <alignment horizontal="center"/>
      <protection locked="0"/>
    </xf>
    <xf numFmtId="0" fontId="8" fillId="6" borderId="0" xfId="0" applyFont="1" applyFill="1" applyAlignment="1" applyProtection="1">
      <alignment vertical="center"/>
    </xf>
    <xf numFmtId="0" fontId="8" fillId="6" borderId="0" xfId="0" applyFont="1" applyFill="1" applyAlignment="1" applyProtection="1">
      <alignment horizontal="right" vertical="center"/>
    </xf>
    <xf numFmtId="0" fontId="0" fillId="4" borderId="0" xfId="0" applyFill="1" applyAlignment="1" applyProtection="1">
      <alignment horizontal="left" vertical="center"/>
    </xf>
    <xf numFmtId="0" fontId="3" fillId="4" borderId="0" xfId="0" applyFont="1" applyFill="1" applyBorder="1" applyProtection="1"/>
    <xf numFmtId="0" fontId="0" fillId="4" borderId="0" xfId="0" applyFill="1" applyBorder="1" applyProtection="1"/>
    <xf numFmtId="0" fontId="0" fillId="5" borderId="16" xfId="0" applyFill="1" applyBorder="1" applyProtection="1"/>
    <xf numFmtId="49" fontId="0" fillId="5" borderId="28" xfId="0" applyNumberFormat="1" applyFill="1" applyBorder="1" applyProtection="1"/>
    <xf numFmtId="0" fontId="0" fillId="0" borderId="12" xfId="0" applyBorder="1" applyProtection="1"/>
    <xf numFmtId="0" fontId="0" fillId="5" borderId="2" xfId="0" applyFill="1" applyBorder="1" applyProtection="1"/>
    <xf numFmtId="44" fontId="29" fillId="4" borderId="0" xfId="0" applyNumberFormat="1" applyFont="1" applyFill="1" applyProtection="1"/>
    <xf numFmtId="44" fontId="24" fillId="4" borderId="6" xfId="0" applyNumberFormat="1" applyFont="1" applyFill="1" applyBorder="1" applyProtection="1"/>
    <xf numFmtId="44" fontId="24" fillId="4" borderId="0" xfId="0" applyNumberFormat="1" applyFont="1" applyFill="1" applyProtection="1"/>
    <xf numFmtId="0" fontId="24" fillId="4" borderId="0" xfId="0" applyFont="1" applyFill="1" applyProtection="1"/>
    <xf numFmtId="49" fontId="24" fillId="4" borderId="0" xfId="0" applyNumberFormat="1" applyFont="1" applyFill="1" applyProtection="1"/>
    <xf numFmtId="0" fontId="26" fillId="5" borderId="3" xfId="0" applyFont="1" applyFill="1" applyBorder="1" applyProtection="1"/>
    <xf numFmtId="0" fontId="0" fillId="5" borderId="4" xfId="0" applyFill="1" applyBorder="1" applyProtection="1"/>
    <xf numFmtId="0" fontId="26" fillId="5" borderId="6" xfId="0" applyFont="1" applyFill="1" applyBorder="1" applyProtection="1"/>
    <xf numFmtId="0" fontId="24" fillId="5" borderId="0" xfId="0" applyFont="1" applyFill="1" applyBorder="1" applyAlignment="1" applyProtection="1">
      <alignment horizontal="right"/>
    </xf>
    <xf numFmtId="0" fontId="6" fillId="0" borderId="20" xfId="0" applyFont="1" applyBorder="1" applyProtection="1"/>
    <xf numFmtId="0" fontId="0" fillId="5" borderId="40" xfId="0" applyFill="1" applyBorder="1" applyProtection="1"/>
    <xf numFmtId="0" fontId="0" fillId="0" borderId="20" xfId="0" applyBorder="1" applyProtection="1"/>
    <xf numFmtId="0" fontId="0" fillId="5" borderId="18" xfId="0" applyFill="1" applyBorder="1" applyProtection="1"/>
    <xf numFmtId="0" fontId="0" fillId="5" borderId="22" xfId="0" applyFill="1" applyBorder="1" applyProtection="1"/>
    <xf numFmtId="0" fontId="0" fillId="5" borderId="12" xfId="0" applyFill="1" applyBorder="1" applyProtection="1"/>
    <xf numFmtId="0" fontId="28" fillId="5" borderId="28" xfId="0" applyFont="1" applyFill="1" applyBorder="1" applyProtection="1"/>
    <xf numFmtId="0" fontId="3" fillId="4" borderId="0" xfId="0" applyFont="1" applyFill="1" applyBorder="1" applyAlignment="1" applyProtection="1"/>
    <xf numFmtId="0" fontId="3" fillId="5" borderId="3" xfId="0" applyFont="1" applyFill="1" applyBorder="1" applyProtection="1"/>
    <xf numFmtId="0" fontId="3" fillId="5" borderId="4" xfId="0" applyFont="1" applyFill="1" applyBorder="1" applyProtection="1"/>
    <xf numFmtId="0" fontId="0" fillId="5" borderId="6" xfId="0" applyFill="1" applyBorder="1" applyProtection="1"/>
    <xf numFmtId="0" fontId="0" fillId="5" borderId="0" xfId="0" applyFill="1" applyBorder="1" applyProtection="1"/>
    <xf numFmtId="0" fontId="4" fillId="5" borderId="6" xfId="0" applyFont="1" applyFill="1" applyBorder="1" applyProtection="1"/>
    <xf numFmtId="0" fontId="4" fillId="5" borderId="0" xfId="0" applyFont="1" applyFill="1" applyBorder="1" applyProtection="1"/>
    <xf numFmtId="0" fontId="0" fillId="5" borderId="8" xfId="0" applyFill="1" applyBorder="1" applyProtection="1"/>
    <xf numFmtId="0" fontId="0" fillId="5" borderId="9" xfId="0" applyFill="1" applyBorder="1" applyProtection="1"/>
    <xf numFmtId="0" fontId="25" fillId="5" borderId="0" xfId="0" applyFont="1" applyFill="1" applyBorder="1" applyProtection="1"/>
    <xf numFmtId="0" fontId="3" fillId="0" borderId="5" xfId="0" applyFont="1" applyFill="1" applyBorder="1" applyAlignment="1" applyProtection="1">
      <alignment horizontal="center"/>
    </xf>
    <xf numFmtId="0" fontId="25" fillId="5" borderId="45" xfId="0" applyFont="1" applyFill="1" applyBorder="1" applyProtection="1"/>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4" borderId="0" xfId="0" quotePrefix="1" applyFont="1" applyFill="1" applyBorder="1" applyProtection="1"/>
    <xf numFmtId="0" fontId="0" fillId="4" borderId="0" xfId="0" quotePrefix="1" applyFill="1" applyBorder="1" applyProtection="1"/>
    <xf numFmtId="0" fontId="0" fillId="5" borderId="16" xfId="0" quotePrefix="1" applyFill="1" applyBorder="1" applyProtection="1"/>
    <xf numFmtId="0" fontId="0" fillId="5" borderId="2" xfId="0" quotePrefix="1" applyFill="1" applyBorder="1" applyProtection="1"/>
    <xf numFmtId="0" fontId="0" fillId="5" borderId="28" xfId="0" quotePrefix="1" applyFill="1" applyBorder="1" applyProtection="1"/>
    <xf numFmtId="0" fontId="0" fillId="5" borderId="9" xfId="0" quotePrefix="1" applyFill="1" applyBorder="1" applyProtection="1"/>
    <xf numFmtId="44" fontId="24" fillId="5" borderId="26" xfId="0" applyNumberFormat="1" applyFont="1" applyFill="1" applyBorder="1" applyProtection="1"/>
    <xf numFmtId="0" fontId="0" fillId="5" borderId="13" xfId="0" applyFill="1" applyBorder="1" applyProtection="1"/>
    <xf numFmtId="44" fontId="24" fillId="5" borderId="21" xfId="0" applyNumberFormat="1" applyFont="1" applyFill="1" applyBorder="1" applyProtection="1"/>
    <xf numFmtId="0" fontId="0" fillId="5" borderId="27" xfId="0" applyFill="1" applyBorder="1" applyProtection="1"/>
    <xf numFmtId="0" fontId="23" fillId="5" borderId="2" xfId="0" applyFont="1" applyFill="1" applyBorder="1" applyAlignment="1" applyProtection="1">
      <alignment horizontal="center"/>
    </xf>
    <xf numFmtId="0" fontId="23" fillId="5" borderId="2" xfId="0" applyFont="1" applyFill="1" applyBorder="1" applyAlignment="1" applyProtection="1"/>
    <xf numFmtId="0" fontId="0" fillId="5" borderId="28" xfId="0" applyFill="1" applyBorder="1" applyProtection="1"/>
    <xf numFmtId="0" fontId="0" fillId="5" borderId="29" xfId="0" applyFill="1" applyBorder="1" applyProtection="1"/>
    <xf numFmtId="7" fontId="3" fillId="5" borderId="16" xfId="0" applyNumberFormat="1" applyFont="1" applyFill="1" applyBorder="1" applyAlignment="1" applyProtection="1">
      <alignment horizontal="center"/>
    </xf>
    <xf numFmtId="0" fontId="3" fillId="5" borderId="16" xfId="0" applyFont="1" applyFill="1" applyBorder="1" applyAlignment="1" applyProtection="1">
      <alignment horizontal="center"/>
    </xf>
    <xf numFmtId="169" fontId="15" fillId="5" borderId="2" xfId="0" applyNumberFormat="1" applyFont="1" applyFill="1" applyBorder="1" applyAlignment="1" applyProtection="1">
      <alignment horizontal="center"/>
    </xf>
    <xf numFmtId="44" fontId="24" fillId="5" borderId="6" xfId="0" applyNumberFormat="1" applyFont="1" applyFill="1" applyBorder="1" applyProtection="1"/>
    <xf numFmtId="0" fontId="0" fillId="5" borderId="7" xfId="0" applyFill="1" applyBorder="1" applyProtection="1"/>
    <xf numFmtId="0" fontId="3" fillId="5" borderId="2" xfId="0" applyFont="1" applyFill="1" applyBorder="1" applyAlignment="1" applyProtection="1">
      <alignment horizontal="center"/>
    </xf>
    <xf numFmtId="0" fontId="3" fillId="5" borderId="27" xfId="0" applyFont="1" applyFill="1" applyBorder="1" applyAlignment="1" applyProtection="1">
      <alignment horizontal="center"/>
    </xf>
    <xf numFmtId="44" fontId="27" fillId="5" borderId="21" xfId="0" applyNumberFormat="1" applyFont="1" applyFill="1" applyBorder="1" applyProtection="1"/>
    <xf numFmtId="14" fontId="3" fillId="5" borderId="2" xfId="0" applyNumberFormat="1" applyFont="1" applyFill="1" applyBorder="1" applyAlignment="1" applyProtection="1">
      <alignment horizontal="center"/>
    </xf>
    <xf numFmtId="0" fontId="0" fillId="0" borderId="2" xfId="0" applyBorder="1" applyProtection="1"/>
    <xf numFmtId="7" fontId="3" fillId="5" borderId="2" xfId="0" applyNumberFormat="1" applyFont="1" applyFill="1" applyBorder="1" applyAlignment="1" applyProtection="1">
      <alignment horizontal="center"/>
    </xf>
    <xf numFmtId="49" fontId="3" fillId="5" borderId="21" xfId="0" applyNumberFormat="1" applyFont="1" applyFill="1" applyBorder="1" applyProtection="1"/>
    <xf numFmtId="49" fontId="0" fillId="5" borderId="21" xfId="0" applyNumberFormat="1" applyFill="1" applyBorder="1" applyProtection="1"/>
    <xf numFmtId="0" fontId="3" fillId="0" borderId="2" xfId="0" applyFont="1" applyBorder="1" applyAlignment="1" applyProtection="1">
      <alignment horizontal="center"/>
    </xf>
    <xf numFmtId="172" fontId="0" fillId="5" borderId="2" xfId="0" applyNumberFormat="1" applyFill="1" applyBorder="1" applyProtection="1"/>
    <xf numFmtId="49" fontId="0" fillId="5" borderId="3" xfId="0" applyNumberFormat="1" applyFill="1" applyBorder="1" applyAlignment="1" applyProtection="1">
      <alignment horizontal="left"/>
    </xf>
    <xf numFmtId="49" fontId="0" fillId="5" borderId="4" xfId="0" applyNumberFormat="1" applyFill="1" applyBorder="1" applyAlignment="1" applyProtection="1">
      <alignment horizontal="left"/>
    </xf>
    <xf numFmtId="0" fontId="0" fillId="0" borderId="6" xfId="0" applyBorder="1" applyProtection="1"/>
    <xf numFmtId="49" fontId="0" fillId="5" borderId="0" xfId="0" applyNumberFormat="1" applyFill="1" applyBorder="1" applyAlignment="1" applyProtection="1">
      <alignment horizontal="left"/>
    </xf>
    <xf numFmtId="0" fontId="0" fillId="1" borderId="21" xfId="0" applyFill="1" applyBorder="1" applyProtection="1"/>
    <xf numFmtId="0" fontId="0" fillId="1" borderId="2" xfId="0" applyFill="1" applyBorder="1" applyProtection="1"/>
    <xf numFmtId="49" fontId="0" fillId="11" borderId="2" xfId="0" applyNumberFormat="1" applyFill="1" applyBorder="1" applyAlignment="1" applyProtection="1">
      <alignment horizontal="left"/>
    </xf>
    <xf numFmtId="0" fontId="0" fillId="5" borderId="0" xfId="0" applyFill="1" applyBorder="1" applyAlignment="1" applyProtection="1">
      <alignment horizontal="center"/>
    </xf>
    <xf numFmtId="49" fontId="3" fillId="5" borderId="6" xfId="0" applyNumberFormat="1" applyFont="1" applyFill="1" applyBorder="1" applyAlignment="1" applyProtection="1">
      <alignment horizontal="left"/>
    </xf>
    <xf numFmtId="0" fontId="6" fillId="5" borderId="0" xfId="0" applyFont="1" applyFill="1" applyBorder="1" applyAlignment="1" applyProtection="1">
      <alignment horizontal="center"/>
    </xf>
    <xf numFmtId="49" fontId="0" fillId="5" borderId="21" xfId="0" applyNumberFormat="1" applyFill="1" applyBorder="1" applyAlignment="1" applyProtection="1">
      <alignment horizontal="left"/>
    </xf>
    <xf numFmtId="0" fontId="0" fillId="0" borderId="0" xfId="0" applyBorder="1" applyProtection="1"/>
    <xf numFmtId="49" fontId="0" fillId="5" borderId="28" xfId="0" applyNumberFormat="1" applyFill="1" applyBorder="1" applyAlignment="1" applyProtection="1">
      <alignment horizontal="left"/>
    </xf>
    <xf numFmtId="7" fontId="0" fillId="4" borderId="0" xfId="0" applyNumberFormat="1" applyFill="1" applyBorder="1" applyProtection="1"/>
    <xf numFmtId="49" fontId="3" fillId="5" borderId="3" xfId="0" applyNumberFormat="1" applyFont="1" applyFill="1" applyBorder="1" applyProtection="1"/>
    <xf numFmtId="0" fontId="0" fillId="0" borderId="16" xfId="0" applyBorder="1" applyProtection="1"/>
    <xf numFmtId="0" fontId="6" fillId="5" borderId="4" xfId="0" applyFont="1" applyFill="1" applyBorder="1" applyAlignment="1" applyProtection="1">
      <alignment horizontal="center"/>
    </xf>
    <xf numFmtId="0" fontId="6" fillId="5" borderId="16" xfId="0" applyFont="1" applyFill="1" applyBorder="1" applyAlignment="1" applyProtection="1">
      <alignment horizontal="center"/>
    </xf>
    <xf numFmtId="0" fontId="0" fillId="0" borderId="8" xfId="0" applyBorder="1" applyProtection="1"/>
    <xf numFmtId="0" fontId="6" fillId="5" borderId="5" xfId="0" applyFont="1" applyFill="1" applyBorder="1" applyAlignment="1" applyProtection="1">
      <alignment horizontal="center"/>
    </xf>
    <xf numFmtId="49" fontId="9" fillId="5" borderId="21" xfId="0" applyNumberFormat="1" applyFont="1" applyFill="1" applyBorder="1" applyProtection="1"/>
    <xf numFmtId="49" fontId="9" fillId="5" borderId="28" xfId="0" applyNumberFormat="1" applyFont="1" applyFill="1" applyBorder="1" applyProtection="1"/>
    <xf numFmtId="0" fontId="0" fillId="11" borderId="2" xfId="0" applyFill="1" applyBorder="1" applyProtection="1"/>
    <xf numFmtId="0" fontId="0" fillId="0" borderId="0" xfId="0" applyProtection="1"/>
    <xf numFmtId="0" fontId="3" fillId="5" borderId="21" xfId="0" applyFont="1" applyFill="1" applyBorder="1" applyProtection="1"/>
    <xf numFmtId="0" fontId="3" fillId="5" borderId="2" xfId="0" applyFont="1" applyFill="1" applyBorder="1" applyProtection="1"/>
    <xf numFmtId="0" fontId="15" fillId="2" borderId="12" xfId="0" applyFont="1" applyFill="1" applyBorder="1" applyAlignment="1" applyProtection="1">
      <alignment horizontal="center"/>
      <protection locked="0"/>
    </xf>
    <xf numFmtId="0" fontId="19" fillId="2" borderId="23" xfId="0" applyFont="1" applyFill="1" applyBorder="1" applyAlignment="1" applyProtection="1">
      <alignment horizontal="center" vertical="center"/>
      <protection locked="0"/>
    </xf>
    <xf numFmtId="0" fontId="19" fillId="2" borderId="23" xfId="0" applyNumberFormat="1" applyFont="1" applyFill="1" applyBorder="1" applyAlignment="1" applyProtection="1">
      <alignment horizontal="center" vertical="center"/>
      <protection locked="0"/>
    </xf>
    <xf numFmtId="10" fontId="15" fillId="2" borderId="38" xfId="2" applyNumberFormat="1" applyFont="1" applyFill="1" applyBorder="1" applyAlignment="1" applyProtection="1">
      <alignment horizontal="right" indent="1"/>
      <protection locked="0"/>
    </xf>
    <xf numFmtId="10" fontId="15" fillId="2" borderId="49" xfId="2" applyNumberFormat="1" applyFont="1" applyFill="1" applyBorder="1" applyAlignment="1" applyProtection="1">
      <alignment horizontal="right" indent="1"/>
      <protection locked="0"/>
    </xf>
    <xf numFmtId="6" fontId="0" fillId="0" borderId="1" xfId="1" applyNumberFormat="1" applyFont="1" applyBorder="1"/>
    <xf numFmtId="0" fontId="45" fillId="5" borderId="12" xfId="0" applyFont="1" applyFill="1" applyBorder="1" applyProtection="1"/>
    <xf numFmtId="0" fontId="45" fillId="5" borderId="26" xfId="0" applyFont="1" applyFill="1" applyBorder="1" applyAlignment="1" applyProtection="1">
      <alignment horizontal="left"/>
    </xf>
    <xf numFmtId="0" fontId="45" fillId="5" borderId="21" xfId="0" applyFont="1" applyFill="1" applyBorder="1" applyAlignment="1" applyProtection="1">
      <alignment horizontal="left"/>
    </xf>
    <xf numFmtId="0" fontId="45" fillId="5" borderId="30" xfId="0" applyFont="1" applyFill="1" applyBorder="1" applyProtection="1"/>
    <xf numFmtId="0" fontId="18" fillId="5" borderId="16" xfId="0" applyFont="1" applyFill="1" applyBorder="1" applyAlignment="1" applyProtection="1">
      <alignment horizontal="center"/>
    </xf>
    <xf numFmtId="0" fontId="45" fillId="5" borderId="16" xfId="0" applyFont="1" applyFill="1" applyBorder="1" applyAlignment="1" applyProtection="1">
      <alignment horizontal="center"/>
    </xf>
    <xf numFmtId="0" fontId="45" fillId="5" borderId="2" xfId="0" applyFont="1" applyFill="1" applyBorder="1" applyAlignment="1" applyProtection="1">
      <alignment horizontal="center"/>
    </xf>
    <xf numFmtId="44" fontId="31" fillId="4" borderId="0" xfId="0" applyNumberFormat="1" applyFont="1" applyFill="1" applyProtection="1"/>
    <xf numFmtId="164" fontId="3" fillId="0" borderId="0" xfId="1" applyNumberFormat="1" applyFont="1" applyAlignment="1"/>
    <xf numFmtId="0" fontId="8" fillId="14" borderId="0" xfId="0" applyFont="1" applyFill="1" applyAlignment="1" applyProtection="1">
      <alignment vertical="center"/>
    </xf>
    <xf numFmtId="0" fontId="0" fillId="14" borderId="0" xfId="0" applyFont="1" applyFill="1" applyAlignment="1" applyProtection="1">
      <alignment vertical="center"/>
    </xf>
    <xf numFmtId="177" fontId="15" fillId="2" borderId="5" xfId="2" applyNumberFormat="1" applyFont="1" applyFill="1" applyBorder="1" applyAlignment="1" applyProtection="1">
      <alignment horizontal="center"/>
      <protection locked="0"/>
    </xf>
    <xf numFmtId="0" fontId="15" fillId="2" borderId="27" xfId="0" applyFont="1" applyFill="1" applyBorder="1" applyAlignment="1" applyProtection="1">
      <alignment horizontal="center"/>
      <protection locked="0"/>
    </xf>
    <xf numFmtId="0" fontId="24" fillId="4" borderId="0" xfId="0" quotePrefix="1" applyFont="1" applyFill="1" applyBorder="1" applyProtection="1"/>
    <xf numFmtId="0" fontId="34" fillId="4" borderId="0" xfId="0" applyFont="1" applyFill="1" applyProtection="1"/>
    <xf numFmtId="49" fontId="6" fillId="5" borderId="3" xfId="0" applyNumberFormat="1" applyFont="1" applyFill="1" applyBorder="1" applyProtection="1"/>
    <xf numFmtId="0" fontId="3" fillId="5" borderId="21" xfId="0" applyFont="1" applyFill="1" applyBorder="1" applyAlignment="1" applyProtection="1">
      <alignment horizontal="center"/>
    </xf>
    <xf numFmtId="0" fontId="18" fillId="5" borderId="2" xfId="0" applyFont="1" applyFill="1" applyBorder="1" applyProtection="1"/>
    <xf numFmtId="0" fontId="0" fillId="5" borderId="5" xfId="0" applyFill="1" applyBorder="1" applyProtection="1"/>
    <xf numFmtId="0" fontId="0" fillId="5" borderId="3" xfId="0" applyFill="1" applyBorder="1" applyProtection="1"/>
    <xf numFmtId="37" fontId="15" fillId="2" borderId="2" xfId="1" applyNumberFormat="1" applyFont="1" applyFill="1" applyBorder="1" applyAlignment="1" applyProtection="1">
      <alignment horizontal="center"/>
      <protection locked="0"/>
    </xf>
    <xf numFmtId="49" fontId="0" fillId="5" borderId="21" xfId="0" applyNumberFormat="1" applyFill="1" applyBorder="1" applyProtection="1">
      <protection locked="0"/>
    </xf>
    <xf numFmtId="169" fontId="0" fillId="5" borderId="9" xfId="0" applyNumberFormat="1" applyFill="1" applyBorder="1" applyProtection="1"/>
    <xf numFmtId="44" fontId="3" fillId="5" borderId="21" xfId="0" applyNumberFormat="1" applyFont="1" applyFill="1" applyBorder="1" applyProtection="1"/>
    <xf numFmtId="10" fontId="15" fillId="2" borderId="58" xfId="2" applyNumberFormat="1" applyFont="1" applyFill="1" applyBorder="1" applyAlignment="1" applyProtection="1">
      <alignment horizontal="right" indent="2"/>
      <protection locked="0"/>
    </xf>
    <xf numFmtId="10" fontId="15" fillId="2" borderId="57" xfId="2" applyNumberFormat="1" applyFont="1" applyFill="1" applyBorder="1" applyAlignment="1" applyProtection="1">
      <alignment horizontal="right" indent="2"/>
      <protection locked="0"/>
    </xf>
    <xf numFmtId="165" fontId="46" fillId="4" borderId="0" xfId="0" applyNumberFormat="1" applyFont="1" applyFill="1" applyAlignment="1" applyProtection="1">
      <alignment horizontal="left"/>
    </xf>
    <xf numFmtId="172" fontId="15" fillId="2" borderId="38" xfId="0" applyNumberFormat="1" applyFont="1" applyFill="1" applyBorder="1" applyAlignment="1" applyProtection="1">
      <alignment horizontal="right" indent="1"/>
      <protection locked="0"/>
    </xf>
    <xf numFmtId="172" fontId="15" fillId="2" borderId="49" xfId="0" applyNumberFormat="1" applyFont="1" applyFill="1" applyBorder="1" applyAlignment="1" applyProtection="1">
      <alignment horizontal="right" indent="1"/>
      <protection locked="0"/>
    </xf>
    <xf numFmtId="172" fontId="15" fillId="2" borderId="17" xfId="0" applyNumberFormat="1" applyFont="1" applyFill="1" applyBorder="1" applyAlignment="1" applyProtection="1">
      <alignment horizontal="right" indent="1"/>
      <protection locked="0"/>
    </xf>
    <xf numFmtId="172" fontId="15" fillId="2" borderId="38" xfId="2" applyNumberFormat="1" applyFont="1" applyFill="1" applyBorder="1" applyAlignment="1" applyProtection="1">
      <alignment horizontal="right" indent="1"/>
      <protection locked="0"/>
    </xf>
    <xf numFmtId="172" fontId="15" fillId="2" borderId="49" xfId="2" applyNumberFormat="1" applyFont="1" applyFill="1" applyBorder="1" applyAlignment="1" applyProtection="1">
      <alignment horizontal="right" indent="1"/>
      <protection locked="0"/>
    </xf>
    <xf numFmtId="172" fontId="15" fillId="2" borderId="11" xfId="0" applyNumberFormat="1" applyFont="1" applyFill="1" applyBorder="1" applyAlignment="1" applyProtection="1">
      <alignment horizontal="right" indent="1"/>
      <protection locked="0"/>
    </xf>
    <xf numFmtId="172" fontId="15" fillId="2" borderId="52" xfId="0" applyNumberFormat="1" applyFont="1" applyFill="1" applyBorder="1" applyAlignment="1" applyProtection="1">
      <alignment horizontal="right" indent="1"/>
      <protection locked="0"/>
    </xf>
    <xf numFmtId="172" fontId="15" fillId="2" borderId="50" xfId="0" applyNumberFormat="1" applyFont="1" applyFill="1" applyBorder="1" applyAlignment="1" applyProtection="1">
      <alignment horizontal="right" indent="1"/>
      <protection locked="0"/>
    </xf>
    <xf numFmtId="172" fontId="15" fillId="2" borderId="45" xfId="0" applyNumberFormat="1" applyFont="1" applyFill="1" applyBorder="1" applyAlignment="1" applyProtection="1">
      <alignment horizontal="right" indent="1"/>
      <protection locked="0"/>
    </xf>
    <xf numFmtId="7" fontId="3" fillId="0" borderId="2"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23" fillId="3" borderId="24" xfId="0" applyFont="1" applyFill="1" applyBorder="1" applyAlignment="1" applyProtection="1">
      <alignment horizontal="center"/>
      <protection hidden="1"/>
    </xf>
    <xf numFmtId="0" fontId="6" fillId="3" borderId="19" xfId="0" applyFont="1" applyFill="1" applyBorder="1" applyAlignment="1" applyProtection="1">
      <alignment horizontal="center"/>
      <protection hidden="1"/>
    </xf>
    <xf numFmtId="0" fontId="6" fillId="7" borderId="6" xfId="0" applyFont="1" applyFill="1" applyBorder="1" applyAlignment="1" applyProtection="1">
      <alignment horizontal="center"/>
      <protection hidden="1"/>
    </xf>
    <xf numFmtId="0" fontId="6" fillId="7" borderId="18" xfId="0" applyFont="1" applyFill="1" applyBorder="1" applyAlignment="1" applyProtection="1">
      <alignment horizontal="center"/>
      <protection hidden="1"/>
    </xf>
    <xf numFmtId="0" fontId="6" fillId="7" borderId="7" xfId="0" applyFont="1" applyFill="1" applyBorder="1" applyAlignment="1" applyProtection="1">
      <alignment horizontal="center"/>
      <protection hidden="1"/>
    </xf>
    <xf numFmtId="10" fontId="9" fillId="3" borderId="24" xfId="2" applyNumberFormat="1" applyFont="1" applyFill="1" applyBorder="1" applyAlignment="1" applyProtection="1">
      <alignment horizontal="right" indent="2"/>
      <protection hidden="1"/>
    </xf>
    <xf numFmtId="10" fontId="9" fillId="7" borderId="15" xfId="2" applyNumberFormat="1" applyFont="1" applyFill="1" applyBorder="1" applyAlignment="1" applyProtection="1">
      <alignment horizontal="right" indent="2"/>
      <protection hidden="1"/>
    </xf>
    <xf numFmtId="10" fontId="9" fillId="7" borderId="27" xfId="2" applyNumberFormat="1" applyFont="1" applyFill="1" applyBorder="1" applyAlignment="1" applyProtection="1">
      <alignment horizontal="right" indent="2"/>
      <protection hidden="1"/>
    </xf>
    <xf numFmtId="10" fontId="9" fillId="3" borderId="35" xfId="2" applyNumberFormat="1" applyFont="1" applyFill="1" applyBorder="1" applyAlignment="1" applyProtection="1">
      <alignment horizontal="right" indent="2"/>
      <protection hidden="1"/>
    </xf>
    <xf numFmtId="10" fontId="9" fillId="3" borderId="25" xfId="2" applyNumberFormat="1" applyFont="1" applyFill="1" applyBorder="1" applyAlignment="1" applyProtection="1">
      <alignment horizontal="right" indent="2"/>
      <protection hidden="1"/>
    </xf>
    <xf numFmtId="10" fontId="9" fillId="7" borderId="33" xfId="2" applyNumberFormat="1" applyFont="1" applyFill="1" applyBorder="1" applyAlignment="1" applyProtection="1">
      <alignment horizontal="right" indent="2"/>
      <protection hidden="1"/>
    </xf>
    <xf numFmtId="10" fontId="9" fillId="7" borderId="29" xfId="2" applyNumberFormat="1" applyFont="1" applyFill="1" applyBorder="1" applyAlignment="1" applyProtection="1">
      <alignment horizontal="right" indent="2"/>
      <protection hidden="1"/>
    </xf>
    <xf numFmtId="176" fontId="0" fillId="0" borderId="21" xfId="2" applyNumberFormat="1" applyFont="1" applyBorder="1" applyAlignment="1" applyProtection="1">
      <alignment horizontal="right" indent="2"/>
      <protection hidden="1"/>
    </xf>
    <xf numFmtId="176" fontId="0" fillId="0" borderId="2" xfId="2" applyNumberFormat="1" applyFont="1" applyBorder="1" applyAlignment="1" applyProtection="1">
      <alignment horizontal="right" indent="2"/>
      <protection hidden="1"/>
    </xf>
    <xf numFmtId="176" fontId="0" fillId="0" borderId="8" xfId="2" applyNumberFormat="1" applyFont="1" applyBorder="1" applyAlignment="1" applyProtection="1">
      <alignment horizontal="right" indent="2"/>
      <protection hidden="1"/>
    </xf>
    <xf numFmtId="176" fontId="0" fillId="0" borderId="9" xfId="2" applyNumberFormat="1" applyFont="1" applyBorder="1" applyAlignment="1" applyProtection="1">
      <alignment horizontal="right" indent="2"/>
      <protection hidden="1"/>
    </xf>
    <xf numFmtId="169" fontId="9" fillId="5" borderId="2" xfId="0" applyNumberFormat="1" applyFont="1" applyFill="1" applyBorder="1" applyAlignment="1" applyProtection="1">
      <alignment horizontal="right" indent="1"/>
      <protection hidden="1"/>
    </xf>
    <xf numFmtId="10" fontId="9" fillId="5" borderId="24" xfId="2" applyNumberFormat="1" applyFont="1" applyFill="1" applyBorder="1" applyAlignment="1" applyProtection="1">
      <alignment horizontal="right" indent="2"/>
      <protection hidden="1"/>
    </xf>
    <xf numFmtId="10" fontId="9" fillId="11" borderId="24" xfId="2" applyNumberFormat="1" applyFont="1" applyFill="1" applyBorder="1" applyAlignment="1" applyProtection="1">
      <alignment horizontal="right" indent="2"/>
      <protection hidden="1"/>
    </xf>
    <xf numFmtId="169" fontId="0" fillId="5" borderId="9" xfId="0" applyNumberFormat="1" applyFill="1" applyBorder="1" applyAlignment="1" applyProtection="1">
      <alignment horizontal="right" indent="1"/>
      <protection hidden="1"/>
    </xf>
    <xf numFmtId="0" fontId="0" fillId="0" borderId="31" xfId="0" applyBorder="1" applyProtection="1">
      <protection hidden="1"/>
    </xf>
    <xf numFmtId="169" fontId="9" fillId="0" borderId="2" xfId="0" applyNumberFormat="1" applyFont="1" applyFill="1" applyBorder="1" applyAlignment="1" applyProtection="1">
      <alignment horizontal="right" indent="1"/>
      <protection hidden="1"/>
    </xf>
    <xf numFmtId="169" fontId="9" fillId="0" borderId="21" xfId="0" applyNumberFormat="1" applyFont="1" applyFill="1" applyBorder="1" applyAlignment="1" applyProtection="1">
      <alignment horizontal="right" indent="1"/>
      <protection hidden="1"/>
    </xf>
    <xf numFmtId="169" fontId="9" fillId="5" borderId="27" xfId="0" applyNumberFormat="1" applyFont="1" applyFill="1" applyBorder="1" applyAlignment="1" applyProtection="1">
      <alignment horizontal="right" indent="1"/>
      <protection hidden="1"/>
    </xf>
    <xf numFmtId="169" fontId="0" fillId="5" borderId="2" xfId="0" applyNumberFormat="1" applyFill="1" applyBorder="1" applyAlignment="1" applyProtection="1">
      <alignment horizontal="right" indent="1"/>
      <protection hidden="1"/>
    </xf>
    <xf numFmtId="169" fontId="0" fillId="5" borderId="21" xfId="0" applyNumberFormat="1" applyFill="1" applyBorder="1" applyAlignment="1" applyProtection="1">
      <alignment horizontal="right" indent="1"/>
      <protection hidden="1"/>
    </xf>
    <xf numFmtId="169" fontId="0" fillId="5" borderId="27" xfId="0" applyNumberFormat="1" applyFill="1" applyBorder="1" applyAlignment="1" applyProtection="1">
      <alignment horizontal="right" indent="1"/>
      <protection hidden="1"/>
    </xf>
    <xf numFmtId="172" fontId="0" fillId="5" borderId="2" xfId="0" applyNumberFormat="1" applyFill="1" applyBorder="1" applyAlignment="1" applyProtection="1">
      <alignment horizontal="right" indent="1"/>
      <protection hidden="1"/>
    </xf>
    <xf numFmtId="172" fontId="0" fillId="5" borderId="21" xfId="0" applyNumberFormat="1" applyFill="1" applyBorder="1" applyAlignment="1" applyProtection="1">
      <alignment horizontal="right" indent="1"/>
      <protection hidden="1"/>
    </xf>
    <xf numFmtId="172" fontId="0" fillId="5" borderId="27" xfId="0" applyNumberFormat="1" applyFill="1" applyBorder="1" applyAlignment="1" applyProtection="1">
      <alignment horizontal="right" indent="1"/>
      <protection hidden="1"/>
    </xf>
    <xf numFmtId="0" fontId="9" fillId="5" borderId="9" xfId="0" applyFont="1" applyFill="1" applyBorder="1" applyAlignment="1" applyProtection="1">
      <alignment horizontal="center"/>
      <protection hidden="1"/>
    </xf>
    <xf numFmtId="0" fontId="9" fillId="5" borderId="8" xfId="0" applyFont="1" applyFill="1" applyBorder="1" applyAlignment="1" applyProtection="1">
      <alignment horizontal="center"/>
      <protection hidden="1"/>
    </xf>
    <xf numFmtId="0" fontId="9" fillId="5" borderId="10" xfId="0" applyFont="1" applyFill="1" applyBorder="1" applyAlignment="1" applyProtection="1">
      <alignment horizontal="center"/>
      <protection hidden="1"/>
    </xf>
    <xf numFmtId="169" fontId="34" fillId="0" borderId="21" xfId="0" applyNumberFormat="1" applyFont="1" applyFill="1" applyBorder="1" applyAlignment="1" applyProtection="1">
      <alignment horizontal="right" indent="1"/>
      <protection hidden="1"/>
    </xf>
    <xf numFmtId="0" fontId="18" fillId="5" borderId="27" xfId="0" applyFont="1" applyFill="1" applyBorder="1" applyProtection="1">
      <protection hidden="1"/>
    </xf>
    <xf numFmtId="0" fontId="0" fillId="1" borderId="27" xfId="0" applyFill="1" applyBorder="1" applyProtection="1">
      <protection hidden="1"/>
    </xf>
    <xf numFmtId="0" fontId="0" fillId="11" borderId="27" xfId="0" applyFill="1" applyBorder="1" applyProtection="1">
      <protection hidden="1"/>
    </xf>
    <xf numFmtId="0" fontId="18" fillId="5" borderId="29" xfId="0" applyFont="1" applyFill="1" applyBorder="1" applyProtection="1">
      <protection hidden="1"/>
    </xf>
    <xf numFmtId="10" fontId="15" fillId="11" borderId="2" xfId="2" applyNumberFormat="1" applyFont="1" applyFill="1" applyBorder="1" applyAlignment="1" applyProtection="1">
      <alignment horizontal="right" indent="2"/>
      <protection hidden="1"/>
    </xf>
    <xf numFmtId="10" fontId="9" fillId="5" borderId="2" xfId="2" applyNumberFormat="1" applyFont="1" applyFill="1" applyBorder="1" applyAlignment="1" applyProtection="1">
      <alignment horizontal="right" indent="2"/>
      <protection hidden="1"/>
    </xf>
    <xf numFmtId="10" fontId="9" fillId="5" borderId="27" xfId="2" applyNumberFormat="1" applyFont="1" applyFill="1" applyBorder="1" applyAlignment="1" applyProtection="1">
      <alignment horizontal="right" indent="2"/>
      <protection hidden="1"/>
    </xf>
    <xf numFmtId="10" fontId="15" fillId="11" borderId="12" xfId="2" applyNumberFormat="1" applyFont="1" applyFill="1" applyBorder="1" applyAlignment="1" applyProtection="1">
      <alignment horizontal="right" indent="2"/>
      <protection hidden="1"/>
    </xf>
    <xf numFmtId="10" fontId="9" fillId="5" borderId="12" xfId="2" applyNumberFormat="1" applyFont="1" applyFill="1" applyBorder="1" applyAlignment="1" applyProtection="1">
      <alignment horizontal="right" indent="2"/>
      <protection hidden="1"/>
    </xf>
    <xf numFmtId="10" fontId="9" fillId="5" borderId="29" xfId="2" applyNumberFormat="1" applyFont="1" applyFill="1" applyBorder="1" applyAlignment="1" applyProtection="1">
      <alignment horizontal="right" indent="2"/>
      <protection hidden="1"/>
    </xf>
    <xf numFmtId="0" fontId="0" fillId="4" borderId="0" xfId="0" applyFill="1" applyBorder="1" applyProtection="1">
      <protection hidden="1"/>
    </xf>
    <xf numFmtId="0" fontId="24" fillId="4" borderId="0" xfId="0" quotePrefix="1" applyFont="1" applyFill="1" applyBorder="1" applyProtection="1">
      <protection hidden="1"/>
    </xf>
    <xf numFmtId="0" fontId="0" fillId="4" borderId="0" xfId="0" applyFill="1" applyProtection="1">
      <protection hidden="1"/>
    </xf>
    <xf numFmtId="0" fontId="6" fillId="5" borderId="4" xfId="0" applyFont="1" applyFill="1" applyBorder="1" applyAlignment="1" applyProtection="1">
      <alignment horizontal="center"/>
      <protection hidden="1"/>
    </xf>
    <xf numFmtId="0" fontId="6" fillId="5" borderId="5" xfId="0" applyFont="1" applyFill="1" applyBorder="1" applyAlignment="1" applyProtection="1">
      <alignment horizontal="center"/>
      <protection hidden="1"/>
    </xf>
    <xf numFmtId="0" fontId="24" fillId="4" borderId="0" xfId="0" quotePrefix="1" applyFont="1" applyFill="1" applyProtection="1">
      <protection hidden="1"/>
    </xf>
    <xf numFmtId="169" fontId="9" fillId="0" borderId="27" xfId="0" applyNumberFormat="1" applyFont="1" applyFill="1" applyBorder="1" applyAlignment="1" applyProtection="1">
      <alignment horizontal="right" indent="1"/>
      <protection hidden="1"/>
    </xf>
    <xf numFmtId="169" fontId="9" fillId="0" borderId="12" xfId="0" applyNumberFormat="1" applyFont="1" applyFill="1" applyBorder="1" applyAlignment="1" applyProtection="1">
      <alignment horizontal="right" indent="1"/>
      <protection hidden="1"/>
    </xf>
    <xf numFmtId="169" fontId="9" fillId="0" borderId="29" xfId="0" applyNumberFormat="1" applyFont="1" applyFill="1" applyBorder="1" applyAlignment="1" applyProtection="1">
      <alignment horizontal="right" indent="1"/>
      <protection hidden="1"/>
    </xf>
    <xf numFmtId="169" fontId="9" fillId="4" borderId="0" xfId="0" applyNumberFormat="1" applyFont="1" applyFill="1" applyBorder="1" applyAlignment="1" applyProtection="1">
      <alignment horizontal="right" indent="1"/>
      <protection hidden="1"/>
    </xf>
    <xf numFmtId="169" fontId="9" fillId="4" borderId="0" xfId="0" applyNumberFormat="1" applyFont="1" applyFill="1" applyBorder="1" applyAlignment="1" applyProtection="1">
      <alignment horizontal="center"/>
      <protection hidden="1"/>
    </xf>
    <xf numFmtId="0" fontId="24" fillId="4" borderId="0" xfId="0" applyFont="1" applyFill="1" applyProtection="1">
      <protection hidden="1"/>
    </xf>
    <xf numFmtId="169" fontId="9" fillId="5" borderId="12" xfId="0" applyNumberFormat="1" applyFont="1" applyFill="1" applyBorder="1" applyAlignment="1" applyProtection="1">
      <alignment horizontal="right" indent="1"/>
      <protection hidden="1"/>
    </xf>
    <xf numFmtId="169" fontId="9" fillId="5" borderId="29" xfId="0" applyNumberFormat="1" applyFont="1" applyFill="1" applyBorder="1" applyAlignment="1" applyProtection="1">
      <alignment horizontal="right" indent="1"/>
      <protection hidden="1"/>
    </xf>
    <xf numFmtId="181" fontId="9" fillId="4" borderId="0" xfId="0" applyNumberFormat="1" applyFont="1" applyFill="1" applyBorder="1" applyAlignment="1" applyProtection="1">
      <alignment horizontal="right" indent="1"/>
      <protection hidden="1"/>
    </xf>
    <xf numFmtId="0" fontId="0" fillId="11" borderId="2" xfId="0" applyFill="1" applyBorder="1" applyProtection="1">
      <protection hidden="1"/>
    </xf>
    <xf numFmtId="0" fontId="0" fillId="11" borderId="9" xfId="0" applyFill="1" applyBorder="1" applyProtection="1">
      <protection hidden="1"/>
    </xf>
    <xf numFmtId="0" fontId="9" fillId="11" borderId="2" xfId="0" applyFont="1" applyFill="1" applyBorder="1" applyProtection="1">
      <protection hidden="1"/>
    </xf>
    <xf numFmtId="0" fontId="9" fillId="11" borderId="12" xfId="0" applyFont="1" applyFill="1" applyBorder="1" applyProtection="1">
      <protection hidden="1"/>
    </xf>
    <xf numFmtId="0" fontId="10" fillId="9" borderId="0" xfId="0" applyFont="1" applyFill="1" applyAlignment="1" applyProtection="1">
      <alignment horizontal="left"/>
      <protection hidden="1"/>
    </xf>
    <xf numFmtId="0" fontId="10" fillId="9" borderId="0" xfId="0" applyFont="1" applyFill="1" applyAlignment="1" applyProtection="1">
      <protection hidden="1"/>
    </xf>
    <xf numFmtId="6" fontId="0" fillId="0" borderId="0" xfId="0" applyNumberFormat="1" applyProtection="1">
      <protection hidden="1"/>
    </xf>
    <xf numFmtId="0" fontId="0" fillId="0" borderId="0" xfId="0" applyProtection="1">
      <protection hidden="1"/>
    </xf>
    <xf numFmtId="0" fontId="11" fillId="9" borderId="0" xfId="0" applyFont="1" applyFill="1" applyAlignment="1" applyProtection="1">
      <alignment horizontal="center"/>
      <protection hidden="1"/>
    </xf>
    <xf numFmtId="167" fontId="11" fillId="9" borderId="0" xfId="0" applyNumberFormat="1" applyFont="1" applyFill="1" applyAlignment="1" applyProtection="1">
      <alignment horizontal="center"/>
      <protection hidden="1"/>
    </xf>
    <xf numFmtId="6" fontId="30" fillId="0" borderId="0" xfId="0" applyNumberFormat="1" applyFont="1" applyProtection="1">
      <protection hidden="1"/>
    </xf>
    <xf numFmtId="6" fontId="7" fillId="0" borderId="0" xfId="0" applyNumberFormat="1" applyFont="1" applyProtection="1">
      <protection hidden="1"/>
    </xf>
    <xf numFmtId="176" fontId="0" fillId="0" borderId="0" xfId="2" applyNumberFormat="1" applyFont="1" applyProtection="1">
      <protection hidden="1"/>
    </xf>
    <xf numFmtId="6" fontId="0" fillId="3" borderId="0" xfId="0" applyNumberFormat="1" applyFill="1" applyProtection="1">
      <protection hidden="1"/>
    </xf>
    <xf numFmtId="6" fontId="18" fillId="0" borderId="0" xfId="0" applyNumberFormat="1" applyFont="1" applyProtection="1">
      <protection hidden="1"/>
    </xf>
    <xf numFmtId="6" fontId="0" fillId="0" borderId="1" xfId="0" applyNumberFormat="1" applyBorder="1" applyProtection="1">
      <protection hidden="1"/>
    </xf>
    <xf numFmtId="176" fontId="0" fillId="0" borderId="1" xfId="2" applyNumberFormat="1" applyFont="1" applyBorder="1" applyProtection="1">
      <protection hidden="1"/>
    </xf>
    <xf numFmtId="165" fontId="0" fillId="0" borderId="0" xfId="2" applyNumberFormat="1" applyFont="1" applyProtection="1">
      <protection hidden="1"/>
    </xf>
    <xf numFmtId="176" fontId="0" fillId="0" borderId="0" xfId="0" applyNumberFormat="1" applyProtection="1">
      <protection hidden="1"/>
    </xf>
    <xf numFmtId="174" fontId="0" fillId="0" borderId="0" xfId="1" applyNumberFormat="1" applyFont="1" applyProtection="1">
      <protection hidden="1"/>
    </xf>
    <xf numFmtId="49" fontId="0" fillId="0" borderId="0" xfId="0" applyNumberFormat="1" applyProtection="1">
      <protection hidden="1"/>
    </xf>
    <xf numFmtId="6" fontId="7" fillId="0" borderId="0" xfId="1" applyNumberFormat="1" applyFont="1" applyProtection="1">
      <protection hidden="1"/>
    </xf>
    <xf numFmtId="6" fontId="9" fillId="0" borderId="0" xfId="1" applyNumberFormat="1" applyFont="1" applyProtection="1">
      <protection hidden="1"/>
    </xf>
    <xf numFmtId="6" fontId="18" fillId="0" borderId="0" xfId="1" applyNumberFormat="1" applyFont="1" applyProtection="1">
      <protection hidden="1"/>
    </xf>
    <xf numFmtId="176" fontId="0" fillId="0" borderId="2" xfId="2" applyNumberFormat="1" applyFont="1" applyBorder="1" applyProtection="1">
      <protection hidden="1"/>
    </xf>
    <xf numFmtId="0" fontId="3" fillId="0" borderId="0" xfId="0" applyFont="1" applyProtection="1">
      <protection hidden="1"/>
    </xf>
    <xf numFmtId="176" fontId="3" fillId="0" borderId="0" xfId="0" applyNumberFormat="1" applyFont="1" applyProtection="1">
      <protection hidden="1"/>
    </xf>
    <xf numFmtId="6" fontId="0" fillId="0" borderId="0" xfId="1" applyNumberFormat="1" applyFont="1" applyProtection="1">
      <protection hidden="1"/>
    </xf>
    <xf numFmtId="6" fontId="0" fillId="0" borderId="2" xfId="0" applyNumberFormat="1" applyBorder="1" applyProtection="1">
      <protection hidden="1"/>
    </xf>
    <xf numFmtId="0" fontId="0" fillId="3" borderId="0" xfId="0" applyFill="1" applyProtection="1">
      <protection hidden="1"/>
    </xf>
    <xf numFmtId="6" fontId="0" fillId="10" borderId="0" xfId="1" applyNumberFormat="1" applyFont="1" applyFill="1" applyProtection="1">
      <protection hidden="1"/>
    </xf>
    <xf numFmtId="6" fontId="0" fillId="3" borderId="0" xfId="1" applyNumberFormat="1" applyFont="1" applyFill="1" applyProtection="1">
      <protection hidden="1"/>
    </xf>
    <xf numFmtId="6" fontId="18" fillId="3" borderId="0" xfId="1" applyNumberFormat="1" applyFont="1" applyFill="1" applyProtection="1">
      <protection hidden="1"/>
    </xf>
    <xf numFmtId="6" fontId="3" fillId="0" borderId="1" xfId="0" applyNumberFormat="1" applyFont="1" applyBorder="1" applyProtection="1">
      <protection hidden="1"/>
    </xf>
    <xf numFmtId="166" fontId="0" fillId="0" borderId="0" xfId="2" applyNumberFormat="1" applyFont="1" applyProtection="1">
      <protection hidden="1"/>
    </xf>
    <xf numFmtId="6" fontId="9" fillId="0" borderId="0" xfId="0" applyNumberFormat="1" applyFont="1" applyProtection="1">
      <protection hidden="1"/>
    </xf>
    <xf numFmtId="176" fontId="7" fillId="0" borderId="0" xfId="0" applyNumberFormat="1" applyFont="1" applyProtection="1">
      <protection hidden="1"/>
    </xf>
    <xf numFmtId="6" fontId="16" fillId="0" borderId="0" xfId="0" applyNumberFormat="1" applyFont="1" applyProtection="1">
      <protection hidden="1"/>
    </xf>
    <xf numFmtId="6" fontId="9" fillId="10" borderId="0" xfId="0" applyNumberFormat="1" applyFont="1" applyFill="1" applyProtection="1">
      <protection hidden="1"/>
    </xf>
    <xf numFmtId="6" fontId="0" fillId="10" borderId="0" xfId="0" applyNumberFormat="1" applyFill="1" applyProtection="1">
      <protection hidden="1"/>
    </xf>
    <xf numFmtId="6" fontId="9" fillId="0" borderId="1" xfId="0" applyNumberFormat="1" applyFont="1" applyBorder="1" applyProtection="1">
      <protection hidden="1"/>
    </xf>
    <xf numFmtId="6" fontId="0" fillId="0" borderId="0" xfId="0" applyNumberFormat="1" applyAlignment="1" applyProtection="1">
      <alignment horizontal="right"/>
      <protection hidden="1"/>
    </xf>
    <xf numFmtId="176" fontId="0" fillId="13" borderId="0" xfId="0" applyNumberFormat="1" applyFill="1" applyProtection="1">
      <protection hidden="1"/>
    </xf>
    <xf numFmtId="6" fontId="9" fillId="0" borderId="2" xfId="0" applyNumberFormat="1" applyFont="1" applyBorder="1" applyProtection="1">
      <protection hidden="1"/>
    </xf>
    <xf numFmtId="6" fontId="0" fillId="12" borderId="0" xfId="1" applyNumberFormat="1" applyFont="1" applyFill="1" applyProtection="1">
      <protection hidden="1"/>
    </xf>
    <xf numFmtId="0" fontId="3" fillId="4" borderId="0" xfId="0" applyFont="1" applyFill="1" applyAlignment="1" applyProtection="1">
      <alignment horizontal="center"/>
    </xf>
    <xf numFmtId="0" fontId="48" fillId="15" borderId="0" xfId="0" applyFont="1" applyFill="1" applyAlignment="1" applyProtection="1">
      <alignment vertical="top"/>
      <protection locked="0"/>
    </xf>
    <xf numFmtId="0" fontId="28" fillId="5" borderId="3" xfId="0" applyFont="1" applyFill="1" applyBorder="1" applyAlignment="1" applyProtection="1">
      <alignment horizontal="left"/>
    </xf>
    <xf numFmtId="0" fontId="28" fillId="5" borderId="4" xfId="0" applyFont="1" applyFill="1" applyBorder="1" applyAlignment="1" applyProtection="1">
      <alignment horizontal="left"/>
    </xf>
    <xf numFmtId="0" fontId="18" fillId="5" borderId="28" xfId="0" applyFont="1" applyFill="1" applyBorder="1" applyProtection="1"/>
    <xf numFmtId="6" fontId="50" fillId="0" borderId="0" xfId="0" applyNumberFormat="1" applyFont="1" applyProtection="1">
      <protection hidden="1"/>
    </xf>
    <xf numFmtId="0" fontId="15" fillId="2" borderId="2" xfId="0" applyFont="1" applyFill="1" applyBorder="1" applyAlignment="1" applyProtection="1">
      <alignment horizontal="center"/>
      <protection locked="0"/>
    </xf>
    <xf numFmtId="0" fontId="39" fillId="4" borderId="0" xfId="0" applyFont="1" applyFill="1" applyProtection="1"/>
    <xf numFmtId="0" fontId="19" fillId="2" borderId="23" xfId="0" applyFont="1" applyFill="1" applyBorder="1" applyAlignment="1" applyProtection="1">
      <alignment horizontal="center" vertical="center"/>
    </xf>
    <xf numFmtId="0" fontId="19" fillId="2" borderId="23" xfId="0" applyNumberFormat="1" applyFont="1" applyFill="1" applyBorder="1" applyAlignment="1" applyProtection="1">
      <alignment horizontal="center" vertical="center"/>
    </xf>
    <xf numFmtId="9" fontId="15" fillId="2" borderId="29" xfId="2" applyNumberFormat="1" applyFont="1" applyFill="1" applyBorder="1" applyAlignment="1" applyProtection="1">
      <alignment horizontal="center"/>
    </xf>
    <xf numFmtId="0" fontId="2" fillId="5" borderId="21" xfId="0" applyFont="1" applyFill="1" applyBorder="1" applyProtection="1"/>
    <xf numFmtId="0" fontId="25" fillId="4" borderId="0" xfId="0" applyFont="1" applyFill="1" applyProtection="1"/>
    <xf numFmtId="0" fontId="2" fillId="4" borderId="0" xfId="0" applyFont="1" applyFill="1" applyProtection="1"/>
    <xf numFmtId="10" fontId="15" fillId="2" borderId="47" xfId="2" applyNumberFormat="1" applyFont="1" applyFill="1" applyBorder="1" applyAlignment="1" applyProtection="1">
      <alignment horizontal="right" indent="2"/>
    </xf>
    <xf numFmtId="10" fontId="15" fillId="2" borderId="27" xfId="2" applyNumberFormat="1" applyFont="1" applyFill="1" applyBorder="1" applyAlignment="1" applyProtection="1">
      <alignment horizontal="right" indent="2"/>
    </xf>
    <xf numFmtId="10" fontId="15" fillId="2" borderId="48" xfId="2" applyNumberFormat="1" applyFont="1" applyFill="1" applyBorder="1" applyAlignment="1" applyProtection="1">
      <alignment horizontal="right" indent="2"/>
    </xf>
    <xf numFmtId="10" fontId="15" fillId="2" borderId="46" xfId="2" applyNumberFormat="1" applyFont="1" applyFill="1" applyBorder="1" applyAlignment="1" applyProtection="1">
      <alignment horizontal="right" indent="2"/>
    </xf>
    <xf numFmtId="0" fontId="3" fillId="0" borderId="23" xfId="0" applyFont="1" applyBorder="1" applyAlignment="1" applyProtection="1">
      <alignment horizontal="center"/>
    </xf>
    <xf numFmtId="180" fontId="0" fillId="4" borderId="0" xfId="0" applyNumberFormat="1" applyFill="1" applyProtection="1"/>
    <xf numFmtId="44" fontId="0" fillId="4" borderId="0" xfId="0" applyNumberFormat="1" applyFill="1" applyProtection="1"/>
    <xf numFmtId="44" fontId="0" fillId="5" borderId="21" xfId="0" applyNumberFormat="1" applyFill="1" applyBorder="1" applyProtection="1"/>
    <xf numFmtId="49" fontId="0" fillId="5" borderId="21" xfId="0" quotePrefix="1" applyNumberFormat="1" applyFill="1" applyBorder="1" applyProtection="1"/>
    <xf numFmtId="0" fontId="24" fillId="4" borderId="4" xfId="0" applyFont="1" applyFill="1" applyBorder="1" applyProtection="1"/>
    <xf numFmtId="0" fontId="24" fillId="4" borderId="0" xfId="0" applyFont="1" applyFill="1" applyBorder="1" applyProtection="1"/>
    <xf numFmtId="10" fontId="0" fillId="4" borderId="0" xfId="2" applyNumberFormat="1" applyFont="1" applyFill="1" applyProtection="1"/>
    <xf numFmtId="0" fontId="32" fillId="4" borderId="0" xfId="0" applyFont="1" applyFill="1" applyProtection="1"/>
    <xf numFmtId="0" fontId="2" fillId="4" borderId="0" xfId="0" applyFont="1" applyFill="1" applyAlignment="1" applyProtection="1">
      <alignment horizontal="center"/>
    </xf>
    <xf numFmtId="0" fontId="0" fillId="4" borderId="0" xfId="0" applyFill="1" applyAlignment="1" applyProtection="1">
      <alignment horizontal="center"/>
    </xf>
    <xf numFmtId="0" fontId="0" fillId="4" borderId="0" xfId="0" applyFill="1" applyAlignment="1" applyProtection="1">
      <alignment vertical="top"/>
    </xf>
    <xf numFmtId="0" fontId="0" fillId="4" borderId="39" xfId="0" applyFont="1" applyFill="1" applyBorder="1" applyAlignment="1" applyProtection="1">
      <alignment horizontal="right" vertical="top"/>
    </xf>
    <xf numFmtId="0" fontId="35" fillId="4" borderId="36" xfId="0" applyFont="1" applyFill="1" applyBorder="1" applyAlignment="1" applyProtection="1">
      <alignment horizontal="center"/>
    </xf>
    <xf numFmtId="0" fontId="0" fillId="4" borderId="41" xfId="0" applyFill="1" applyBorder="1" applyAlignment="1" applyProtection="1">
      <alignment horizontal="right" vertical="top"/>
    </xf>
    <xf numFmtId="1" fontId="9" fillId="4" borderId="42" xfId="0" applyNumberFormat="1" applyFont="1" applyFill="1" applyBorder="1" applyAlignment="1" applyProtection="1">
      <alignment horizontal="center"/>
    </xf>
    <xf numFmtId="0" fontId="0" fillId="4" borderId="0" xfId="0" applyFill="1" applyAlignment="1" applyProtection="1">
      <alignment horizontal="right"/>
    </xf>
    <xf numFmtId="1" fontId="0" fillId="4" borderId="42" xfId="0" applyNumberFormat="1" applyFill="1" applyBorder="1" applyAlignment="1" applyProtection="1">
      <alignment horizontal="center" vertical="top"/>
    </xf>
    <xf numFmtId="0" fontId="0" fillId="4" borderId="0" xfId="0" applyFont="1" applyFill="1" applyProtection="1"/>
    <xf numFmtId="0" fontId="0" fillId="4" borderId="43" xfId="0" applyFill="1" applyBorder="1" applyAlignment="1" applyProtection="1">
      <alignment horizontal="right" vertical="top"/>
    </xf>
    <xf numFmtId="1" fontId="0" fillId="4" borderId="44" xfId="0" applyNumberFormat="1" applyFont="1" applyFill="1" applyBorder="1" applyAlignment="1" applyProtection="1">
      <alignment horizontal="center" vertical="top"/>
    </xf>
    <xf numFmtId="0" fontId="0" fillId="4" borderId="39" xfId="0" applyFill="1" applyBorder="1" applyAlignment="1" applyProtection="1">
      <alignment horizontal="right"/>
    </xf>
    <xf numFmtId="0" fontId="0" fillId="4" borderId="43" xfId="0" applyFill="1" applyBorder="1" applyAlignment="1" applyProtection="1">
      <alignment horizontal="right"/>
    </xf>
    <xf numFmtId="0" fontId="0" fillId="4" borderId="44" xfId="0" applyFill="1" applyBorder="1" applyAlignment="1" applyProtection="1">
      <alignment horizontal="center"/>
    </xf>
    <xf numFmtId="10" fontId="9" fillId="4" borderId="2" xfId="2" applyNumberFormat="1" applyFont="1" applyFill="1" applyBorder="1" applyAlignment="1" applyProtection="1">
      <alignment horizontal="center"/>
    </xf>
    <xf numFmtId="0" fontId="0" fillId="4" borderId="0" xfId="0" applyFill="1" applyBorder="1" applyAlignment="1" applyProtection="1">
      <alignment horizontal="right"/>
    </xf>
    <xf numFmtId="164" fontId="0" fillId="4" borderId="0" xfId="1" applyNumberFormat="1" applyFont="1" applyFill="1" applyAlignment="1" applyProtection="1">
      <alignment vertical="top"/>
    </xf>
    <xf numFmtId="0" fontId="3" fillId="4" borderId="0" xfId="0" applyFont="1" applyFill="1" applyProtection="1"/>
    <xf numFmtId="6" fontId="21" fillId="4" borderId="0" xfId="0" applyNumberFormat="1" applyFont="1" applyFill="1" applyProtection="1"/>
    <xf numFmtId="38" fontId="0" fillId="4" borderId="0" xfId="0" applyNumberFormat="1" applyFill="1" applyProtection="1"/>
    <xf numFmtId="0" fontId="48" fillId="15" borderId="0" xfId="0" applyFont="1" applyFill="1" applyAlignment="1" applyProtection="1">
      <alignment vertical="top"/>
    </xf>
    <xf numFmtId="169" fontId="49" fillId="4" borderId="0" xfId="0" quotePrefix="1" applyNumberFormat="1" applyFont="1" applyFill="1" applyAlignment="1" applyProtection="1">
      <alignment horizontal="left" vertical="top"/>
    </xf>
    <xf numFmtId="170" fontId="47" fillId="4" borderId="0" xfId="1" applyNumberFormat="1" applyFont="1" applyFill="1" applyAlignment="1" applyProtection="1">
      <alignment horizontal="left" vertical="top"/>
    </xf>
    <xf numFmtId="0" fontId="47" fillId="4" borderId="0" xfId="0" applyFont="1" applyFill="1" applyAlignment="1" applyProtection="1">
      <alignment vertical="top"/>
    </xf>
    <xf numFmtId="0" fontId="0" fillId="0" borderId="0" xfId="0" applyFill="1" applyProtection="1"/>
    <xf numFmtId="169" fontId="9" fillId="5" borderId="21" xfId="0" applyNumberFormat="1" applyFont="1" applyFill="1" applyBorder="1" applyAlignment="1" applyProtection="1">
      <alignment horizontal="left"/>
      <protection hidden="1"/>
    </xf>
    <xf numFmtId="169" fontId="34" fillId="5" borderId="2" xfId="0" applyNumberFormat="1" applyFont="1" applyFill="1" applyBorder="1" applyAlignment="1" applyProtection="1">
      <alignment horizontal="left"/>
      <protection hidden="1"/>
    </xf>
    <xf numFmtId="169" fontId="9" fillId="5" borderId="28" xfId="0" applyNumberFormat="1" applyFont="1" applyFill="1" applyBorder="1" applyAlignment="1" applyProtection="1">
      <alignment horizontal="left"/>
      <protection hidden="1"/>
    </xf>
    <xf numFmtId="169" fontId="34" fillId="5" borderId="12" xfId="0" applyNumberFormat="1" applyFont="1" applyFill="1" applyBorder="1" applyAlignment="1" applyProtection="1">
      <alignment horizontal="left"/>
      <protection hidden="1"/>
    </xf>
    <xf numFmtId="169" fontId="15" fillId="5" borderId="2" xfId="0" applyNumberFormat="1" applyFont="1" applyFill="1" applyBorder="1" applyAlignment="1" applyProtection="1">
      <alignment horizontal="right" indent="1"/>
      <protection hidden="1"/>
    </xf>
    <xf numFmtId="169" fontId="15" fillId="5" borderId="12" xfId="0" applyNumberFormat="1" applyFont="1" applyFill="1" applyBorder="1" applyAlignment="1" applyProtection="1">
      <alignment horizontal="right" indent="1"/>
      <protection hidden="1"/>
    </xf>
    <xf numFmtId="49" fontId="3" fillId="5" borderId="3" xfId="0" applyNumberFormat="1" applyFont="1" applyFill="1" applyBorder="1" applyProtection="1">
      <protection hidden="1"/>
    </xf>
    <xf numFmtId="0" fontId="0" fillId="5" borderId="16" xfId="0" applyFill="1" applyBorder="1" applyProtection="1">
      <protection hidden="1"/>
    </xf>
    <xf numFmtId="49" fontId="9" fillId="5" borderId="21" xfId="0" applyNumberFormat="1" applyFont="1" applyFill="1" applyBorder="1" applyProtection="1">
      <protection hidden="1"/>
    </xf>
    <xf numFmtId="0" fontId="0" fillId="5" borderId="2" xfId="0" applyFill="1" applyBorder="1" applyProtection="1">
      <protection hidden="1"/>
    </xf>
    <xf numFmtId="49" fontId="9" fillId="5" borderId="8" xfId="0" applyNumberFormat="1" applyFont="1" applyFill="1" applyBorder="1" applyProtection="1">
      <protection hidden="1"/>
    </xf>
    <xf numFmtId="0" fontId="0" fillId="5" borderId="9" xfId="0" applyFill="1" applyBorder="1" applyProtection="1">
      <protection hidden="1"/>
    </xf>
    <xf numFmtId="0" fontId="9" fillId="5" borderId="2" xfId="0" applyFont="1" applyFill="1" applyBorder="1" applyProtection="1">
      <protection hidden="1"/>
    </xf>
    <xf numFmtId="49" fontId="9" fillId="5" borderId="28" xfId="0" applyNumberFormat="1" applyFont="1" applyFill="1" applyBorder="1" applyProtection="1">
      <protection hidden="1"/>
    </xf>
    <xf numFmtId="0" fontId="9" fillId="5" borderId="12" xfId="0" applyFont="1" applyFill="1" applyBorder="1" applyProtection="1">
      <protection hidden="1"/>
    </xf>
    <xf numFmtId="0" fontId="52" fillId="4" borderId="39" xfId="0" applyFont="1" applyFill="1" applyBorder="1" applyProtection="1">
      <protection hidden="1"/>
    </xf>
    <xf numFmtId="0" fontId="32" fillId="4" borderId="22" xfId="0" applyFont="1" applyFill="1" applyBorder="1" applyProtection="1">
      <protection hidden="1"/>
    </xf>
    <xf numFmtId="0" fontId="32" fillId="4" borderId="36" xfId="0" applyFont="1" applyFill="1" applyBorder="1" applyProtection="1">
      <protection hidden="1"/>
    </xf>
    <xf numFmtId="0" fontId="32" fillId="4" borderId="0" xfId="0" applyFont="1" applyFill="1" applyProtection="1">
      <protection hidden="1"/>
    </xf>
    <xf numFmtId="0" fontId="32" fillId="0" borderId="0" xfId="0" applyFont="1" applyProtection="1">
      <protection hidden="1"/>
    </xf>
    <xf numFmtId="0" fontId="33" fillId="4" borderId="0" xfId="0" applyFont="1" applyFill="1" applyProtection="1">
      <protection hidden="1"/>
    </xf>
    <xf numFmtId="173" fontId="32" fillId="4" borderId="0" xfId="0" applyNumberFormat="1" applyFont="1" applyFill="1" applyAlignment="1" applyProtection="1">
      <alignment horizontal="left"/>
      <protection hidden="1"/>
    </xf>
    <xf numFmtId="0" fontId="0" fillId="0" borderId="0" xfId="0" applyFill="1" applyProtection="1">
      <protection hidden="1"/>
    </xf>
    <xf numFmtId="0" fontId="22" fillId="9" borderId="0" xfId="0" applyFont="1" applyFill="1" applyAlignment="1" applyProtection="1">
      <alignment horizontal="left" vertical="center"/>
      <protection hidden="1"/>
    </xf>
    <xf numFmtId="0" fontId="11" fillId="9" borderId="0" xfId="0" applyFont="1" applyFill="1" applyAlignment="1" applyProtection="1">
      <alignment horizontal="center" vertical="center"/>
      <protection hidden="1"/>
    </xf>
    <xf numFmtId="171" fontId="11" fillId="9" borderId="0" xfId="0" applyNumberFormat="1" applyFont="1" applyFill="1" applyAlignment="1" applyProtection="1">
      <alignment horizontal="center" vertical="center"/>
      <protection hidden="1"/>
    </xf>
    <xf numFmtId="38" fontId="0" fillId="0" borderId="0" xfId="0" applyNumberFormat="1" applyFill="1" applyProtection="1">
      <protection hidden="1"/>
    </xf>
    <xf numFmtId="38" fontId="0" fillId="0" borderId="0" xfId="1" applyNumberFormat="1" applyFont="1" applyFill="1" applyProtection="1">
      <protection hidden="1"/>
    </xf>
    <xf numFmtId="38" fontId="0" fillId="0" borderId="6" xfId="1" applyNumberFormat="1" applyFont="1" applyFill="1" applyBorder="1" applyProtection="1">
      <protection hidden="1"/>
    </xf>
    <xf numFmtId="38" fontId="0" fillId="0" borderId="0" xfId="1" applyNumberFormat="1" applyFont="1" applyFill="1" applyBorder="1" applyProtection="1">
      <protection hidden="1"/>
    </xf>
    <xf numFmtId="38" fontId="18" fillId="0" borderId="0" xfId="1" applyNumberFormat="1" applyFont="1" applyFill="1" applyBorder="1" applyProtection="1">
      <protection hidden="1"/>
    </xf>
    <xf numFmtId="38" fontId="0" fillId="0" borderId="18" xfId="1" applyNumberFormat="1" applyFont="1" applyFill="1" applyBorder="1" applyProtection="1">
      <protection hidden="1"/>
    </xf>
    <xf numFmtId="38" fontId="0" fillId="0" borderId="20" xfId="1" applyNumberFormat="1" applyFont="1" applyFill="1" applyBorder="1" applyProtection="1">
      <protection hidden="1"/>
    </xf>
    <xf numFmtId="0" fontId="0" fillId="0" borderId="23" xfId="0" applyFill="1" applyBorder="1" applyAlignment="1" applyProtection="1">
      <alignment horizontal="center"/>
      <protection hidden="1"/>
    </xf>
    <xf numFmtId="38" fontId="0" fillId="0" borderId="6" xfId="0" applyNumberFormat="1" applyFill="1" applyBorder="1" applyProtection="1">
      <protection hidden="1"/>
    </xf>
    <xf numFmtId="38" fontId="0" fillId="0" borderId="31" xfId="0" applyNumberFormat="1" applyFill="1" applyBorder="1" applyProtection="1">
      <protection hidden="1"/>
    </xf>
    <xf numFmtId="38" fontId="0" fillId="0" borderId="1" xfId="0" applyNumberFormat="1" applyFill="1" applyBorder="1" applyProtection="1">
      <protection hidden="1"/>
    </xf>
    <xf numFmtId="38" fontId="0" fillId="0" borderId="34" xfId="0" applyNumberFormat="1" applyFill="1" applyBorder="1" applyProtection="1">
      <protection hidden="1"/>
    </xf>
    <xf numFmtId="166" fontId="0" fillId="0" borderId="0" xfId="2" applyNumberFormat="1" applyFont="1" applyFill="1" applyProtection="1">
      <protection hidden="1"/>
    </xf>
    <xf numFmtId="166" fontId="0" fillId="0" borderId="6" xfId="2" applyNumberFormat="1" applyFont="1" applyFill="1" applyBorder="1" applyProtection="1">
      <protection hidden="1"/>
    </xf>
    <xf numFmtId="38" fontId="0" fillId="0" borderId="23" xfId="0" applyNumberFormat="1" applyFill="1" applyBorder="1" applyAlignment="1" applyProtection="1">
      <alignment horizontal="center"/>
      <protection hidden="1"/>
    </xf>
    <xf numFmtId="175" fontId="37" fillId="4" borderId="0" xfId="0" applyNumberFormat="1" applyFont="1" applyFill="1" applyAlignment="1" applyProtection="1">
      <alignment horizontal="center" vertical="center"/>
      <protection hidden="1"/>
    </xf>
    <xf numFmtId="171" fontId="37" fillId="4" borderId="0" xfId="0" applyNumberFormat="1" applyFont="1" applyFill="1" applyAlignment="1" applyProtection="1">
      <alignment horizontal="center" vertical="center"/>
      <protection hidden="1"/>
    </xf>
    <xf numFmtId="0" fontId="8" fillId="0" borderId="0" xfId="0" applyFont="1" applyProtection="1">
      <protection hidden="1"/>
    </xf>
    <xf numFmtId="0" fontId="2" fillId="0" borderId="3" xfId="0" applyFont="1" applyFill="1" applyBorder="1" applyAlignment="1" applyProtection="1">
      <alignment horizontal="center"/>
      <protection hidden="1"/>
    </xf>
    <xf numFmtId="0" fontId="3" fillId="0" borderId="4" xfId="0" applyFont="1" applyFill="1" applyBorder="1" applyAlignment="1" applyProtection="1">
      <alignment horizontal="center"/>
      <protection hidden="1"/>
    </xf>
    <xf numFmtId="0" fontId="3" fillId="0" borderId="56" xfId="0" applyFont="1" applyFill="1" applyBorder="1" applyAlignment="1" applyProtection="1">
      <alignment horizontal="center"/>
      <protection hidden="1"/>
    </xf>
    <xf numFmtId="0" fontId="3" fillId="0" borderId="20" xfId="0" applyFont="1" applyFill="1" applyBorder="1" applyProtection="1">
      <protection hidden="1"/>
    </xf>
    <xf numFmtId="7" fontId="3" fillId="0" borderId="18" xfId="0" applyNumberFormat="1" applyFont="1" applyFill="1" applyBorder="1" applyAlignment="1" applyProtection="1">
      <alignment horizontal="center"/>
      <protection hidden="1"/>
    </xf>
    <xf numFmtId="0" fontId="3" fillId="0" borderId="18" xfId="0" applyFont="1" applyFill="1" applyBorder="1" applyAlignment="1" applyProtection="1">
      <alignment horizontal="center"/>
      <protection hidden="1"/>
    </xf>
    <xf numFmtId="0" fontId="3" fillId="0" borderId="57" xfId="0" applyFont="1" applyFill="1" applyBorder="1" applyAlignment="1" applyProtection="1">
      <alignment horizontal="center"/>
      <protection hidden="1"/>
    </xf>
    <xf numFmtId="10" fontId="34" fillId="11" borderId="58" xfId="2" applyNumberFormat="1" applyFont="1" applyFill="1" applyBorder="1" applyAlignment="1" applyProtection="1">
      <alignment horizontal="right" indent="2"/>
      <protection hidden="1"/>
    </xf>
    <xf numFmtId="0" fontId="0" fillId="0" borderId="6" xfId="0" applyFill="1" applyBorder="1" applyProtection="1">
      <protection hidden="1"/>
    </xf>
    <xf numFmtId="0" fontId="0" fillId="0" borderId="28" xfId="0" quotePrefix="1" applyFill="1" applyBorder="1" applyProtection="1">
      <protection hidden="1"/>
    </xf>
    <xf numFmtId="169" fontId="0" fillId="0" borderId="9" xfId="0" applyNumberFormat="1" applyFill="1" applyBorder="1" applyAlignment="1" applyProtection="1">
      <alignment horizontal="right" indent="1"/>
      <protection hidden="1"/>
    </xf>
    <xf numFmtId="0" fontId="0" fillId="0" borderId="59" xfId="0" applyFill="1" applyBorder="1" applyProtection="1">
      <protection hidden="1"/>
    </xf>
    <xf numFmtId="0" fontId="3" fillId="5" borderId="16" xfId="0" applyFont="1" applyFill="1" applyBorder="1" applyAlignment="1" applyProtection="1">
      <alignment horizontal="center"/>
      <protection hidden="1"/>
    </xf>
    <xf numFmtId="0" fontId="3" fillId="0" borderId="13" xfId="0" applyFont="1" applyBorder="1" applyAlignment="1" applyProtection="1">
      <alignment horizontal="center"/>
      <protection hidden="1"/>
    </xf>
    <xf numFmtId="49" fontId="3" fillId="5" borderId="21" xfId="0" applyNumberFormat="1" applyFont="1" applyFill="1" applyBorder="1" applyProtection="1">
      <protection hidden="1"/>
    </xf>
    <xf numFmtId="7" fontId="3" fillId="5" borderId="2" xfId="0" applyNumberFormat="1" applyFont="1" applyFill="1" applyBorder="1" applyAlignment="1" applyProtection="1">
      <alignment horizontal="center"/>
      <protection hidden="1"/>
    </xf>
    <xf numFmtId="0" fontId="3" fillId="5" borderId="2" xfId="0" applyFont="1" applyFill="1" applyBorder="1" applyAlignment="1" applyProtection="1">
      <alignment horizontal="center"/>
      <protection hidden="1"/>
    </xf>
    <xf numFmtId="0" fontId="3" fillId="5" borderId="27" xfId="0" applyFont="1" applyFill="1" applyBorder="1" applyAlignment="1" applyProtection="1">
      <alignment horizontal="center"/>
      <protection hidden="1"/>
    </xf>
    <xf numFmtId="49" fontId="0" fillId="5" borderId="21" xfId="0" applyNumberFormat="1" applyFill="1" applyBorder="1" applyProtection="1">
      <protection hidden="1"/>
    </xf>
    <xf numFmtId="49" fontId="0" fillId="5" borderId="28" xfId="0" applyNumberFormat="1" applyFill="1" applyBorder="1" applyProtection="1">
      <protection hidden="1"/>
    </xf>
    <xf numFmtId="172" fontId="0" fillId="5" borderId="12" xfId="0" applyNumberFormat="1" applyFill="1" applyBorder="1" applyAlignment="1" applyProtection="1">
      <alignment horizontal="right" indent="1"/>
      <protection hidden="1"/>
    </xf>
    <xf numFmtId="172" fontId="0" fillId="5" borderId="29" xfId="0" applyNumberFormat="1" applyFill="1" applyBorder="1" applyAlignment="1" applyProtection="1">
      <alignment horizontal="right" indent="1"/>
      <protection hidden="1"/>
    </xf>
    <xf numFmtId="0" fontId="0" fillId="5" borderId="8" xfId="0" applyFill="1" applyBorder="1" applyProtection="1">
      <protection hidden="1"/>
    </xf>
    <xf numFmtId="0" fontId="0" fillId="0" borderId="9" xfId="0" applyBorder="1" applyProtection="1">
      <protection hidden="1"/>
    </xf>
    <xf numFmtId="49" fontId="3" fillId="5" borderId="2" xfId="0" applyNumberFormat="1" applyFont="1" applyFill="1" applyBorder="1" applyProtection="1">
      <protection hidden="1"/>
    </xf>
    <xf numFmtId="49" fontId="0" fillId="5" borderId="2" xfId="0" applyNumberFormat="1" applyFill="1" applyBorder="1" applyProtection="1">
      <protection hidden="1"/>
    </xf>
    <xf numFmtId="0" fontId="0" fillId="0" borderId="4" xfId="0" applyBorder="1" applyProtection="1">
      <protection hidden="1"/>
    </xf>
    <xf numFmtId="0" fontId="0" fillId="0" borderId="5" xfId="0" applyBorder="1" applyProtection="1">
      <protection hidden="1"/>
    </xf>
    <xf numFmtId="49" fontId="3" fillId="5" borderId="20" xfId="0" applyNumberFormat="1" applyFont="1" applyFill="1" applyBorder="1" applyProtection="1">
      <protection hidden="1"/>
    </xf>
    <xf numFmtId="0" fontId="0" fillId="5" borderId="18" xfId="0" applyFill="1" applyBorder="1" applyProtection="1">
      <protection hidden="1"/>
    </xf>
    <xf numFmtId="14" fontId="3" fillId="5" borderId="18" xfId="0" applyNumberFormat="1" applyFont="1" applyFill="1" applyBorder="1" applyAlignment="1" applyProtection="1">
      <alignment horizontal="center"/>
      <protection hidden="1"/>
    </xf>
    <xf numFmtId="14" fontId="3" fillId="5" borderId="40" xfId="0" applyNumberFormat="1" applyFont="1" applyFill="1" applyBorder="1" applyAlignment="1" applyProtection="1">
      <alignment horizontal="center"/>
      <protection hidden="1"/>
    </xf>
    <xf numFmtId="172" fontId="0" fillId="5" borderId="2" xfId="0" applyNumberFormat="1" applyFill="1" applyBorder="1" applyProtection="1">
      <protection hidden="1"/>
    </xf>
    <xf numFmtId="172" fontId="0" fillId="5" borderId="27" xfId="0" applyNumberFormat="1" applyFill="1" applyBorder="1" applyProtection="1">
      <protection hidden="1"/>
    </xf>
    <xf numFmtId="49" fontId="0" fillId="5" borderId="28" xfId="0" applyNumberFormat="1" applyFont="1" applyFill="1" applyBorder="1" applyProtection="1">
      <protection hidden="1"/>
    </xf>
    <xf numFmtId="0" fontId="0" fillId="5" borderId="12" xfId="0" applyFill="1" applyBorder="1" applyProtection="1">
      <protection hidden="1"/>
    </xf>
    <xf numFmtId="49" fontId="8" fillId="5" borderId="3" xfId="0" applyNumberFormat="1" applyFont="1" applyFill="1" applyBorder="1" applyProtection="1">
      <protection hidden="1"/>
    </xf>
    <xf numFmtId="0" fontId="3" fillId="5" borderId="37" xfId="0" applyFont="1" applyFill="1" applyBorder="1" applyAlignment="1" applyProtection="1">
      <alignment horizontal="center"/>
      <protection hidden="1"/>
    </xf>
    <xf numFmtId="0" fontId="3" fillId="0" borderId="37" xfId="0" applyFont="1" applyBorder="1" applyAlignment="1" applyProtection="1">
      <alignment horizontal="center"/>
      <protection hidden="1"/>
    </xf>
    <xf numFmtId="0" fontId="6" fillId="5" borderId="37" xfId="0" applyFont="1" applyFill="1" applyBorder="1" applyAlignment="1" applyProtection="1">
      <alignment horizontal="center"/>
      <protection hidden="1"/>
    </xf>
    <xf numFmtId="0" fontId="6" fillId="5" borderId="51" xfId="0" applyFont="1" applyFill="1" applyBorder="1" applyAlignment="1" applyProtection="1">
      <alignment horizontal="center"/>
      <protection hidden="1"/>
    </xf>
    <xf numFmtId="0" fontId="3" fillId="5" borderId="21" xfId="0" applyFont="1" applyFill="1" applyBorder="1" applyProtection="1">
      <protection hidden="1"/>
    </xf>
    <xf numFmtId="10" fontId="34" fillId="0" borderId="38" xfId="2" applyNumberFormat="1" applyFont="1" applyFill="1" applyBorder="1" applyAlignment="1" applyProtection="1">
      <alignment horizontal="center"/>
      <protection hidden="1"/>
    </xf>
    <xf numFmtId="0" fontId="3" fillId="0" borderId="38" xfId="0" applyFont="1" applyFill="1" applyBorder="1" applyAlignment="1" applyProtection="1">
      <alignment horizontal="center"/>
      <protection hidden="1"/>
    </xf>
    <xf numFmtId="10" fontId="15" fillId="0" borderId="38" xfId="2" applyNumberFormat="1" applyFont="1" applyFill="1" applyBorder="1" applyAlignment="1" applyProtection="1">
      <alignment horizontal="right" indent="2"/>
      <protection hidden="1"/>
    </xf>
    <xf numFmtId="10" fontId="15" fillId="0" borderId="49" xfId="2" applyNumberFormat="1" applyFont="1" applyFill="1" applyBorder="1" applyAlignment="1" applyProtection="1">
      <alignment horizontal="right" indent="2"/>
      <protection hidden="1"/>
    </xf>
    <xf numFmtId="0" fontId="0" fillId="5" borderId="14" xfId="0" applyFill="1" applyBorder="1" applyAlignment="1" applyProtection="1">
      <alignment horizontal="left" indent="1"/>
      <protection hidden="1"/>
    </xf>
    <xf numFmtId="10" fontId="15" fillId="1" borderId="38" xfId="2" applyNumberFormat="1" applyFont="1" applyFill="1" applyBorder="1" applyAlignment="1" applyProtection="1">
      <alignment horizontal="right" indent="2"/>
      <protection hidden="1"/>
    </xf>
    <xf numFmtId="4" fontId="9" fillId="0" borderId="38" xfId="2" applyNumberFormat="1" applyFont="1" applyFill="1" applyBorder="1" applyAlignment="1" applyProtection="1">
      <alignment horizontal="right" indent="2"/>
      <protection hidden="1"/>
    </xf>
    <xf numFmtId="4" fontId="9" fillId="0" borderId="49" xfId="2" applyNumberFormat="1" applyFont="1" applyFill="1" applyBorder="1" applyAlignment="1" applyProtection="1">
      <alignment horizontal="right" indent="2"/>
      <protection hidden="1"/>
    </xf>
    <xf numFmtId="0" fontId="3" fillId="0" borderId="38" xfId="0" applyFont="1" applyFill="1" applyBorder="1" applyProtection="1">
      <protection hidden="1"/>
    </xf>
    <xf numFmtId="0" fontId="0" fillId="0" borderId="38" xfId="0" applyFill="1" applyBorder="1" applyProtection="1">
      <protection hidden="1"/>
    </xf>
    <xf numFmtId="49" fontId="0" fillId="5" borderId="14" xfId="0" applyNumberFormat="1" applyFont="1" applyFill="1" applyBorder="1" applyAlignment="1" applyProtection="1">
      <alignment horizontal="left" indent="1"/>
      <protection hidden="1"/>
    </xf>
    <xf numFmtId="0" fontId="0" fillId="0" borderId="38" xfId="0" applyBorder="1" applyProtection="1">
      <protection hidden="1"/>
    </xf>
    <xf numFmtId="10" fontId="9" fillId="0" borderId="38" xfId="2" applyNumberFormat="1" applyFont="1" applyFill="1" applyBorder="1" applyAlignment="1" applyProtection="1">
      <alignment horizontal="right" indent="2"/>
      <protection hidden="1"/>
    </xf>
    <xf numFmtId="10" fontId="9" fillId="0" borderId="49" xfId="2" applyNumberFormat="1" applyFont="1" applyFill="1" applyBorder="1" applyAlignment="1" applyProtection="1">
      <alignment horizontal="right" indent="2"/>
      <protection hidden="1"/>
    </xf>
    <xf numFmtId="0" fontId="3" fillId="5" borderId="14" xfId="0" applyFont="1" applyFill="1" applyBorder="1" applyAlignment="1" applyProtection="1">
      <alignment horizontal="left" indent="1"/>
      <protection hidden="1"/>
    </xf>
    <xf numFmtId="10" fontId="34" fillId="0" borderId="38" xfId="2" applyNumberFormat="1" applyFont="1" applyFill="1" applyBorder="1" applyAlignment="1" applyProtection="1">
      <alignment horizontal="right" indent="2"/>
      <protection hidden="1"/>
    </xf>
    <xf numFmtId="10" fontId="34" fillId="0" borderId="49" xfId="2" applyNumberFormat="1" applyFont="1" applyFill="1" applyBorder="1" applyAlignment="1" applyProtection="1">
      <alignment horizontal="right" indent="2"/>
      <protection hidden="1"/>
    </xf>
    <xf numFmtId="0" fontId="3" fillId="5" borderId="14" xfId="0" applyFont="1" applyFill="1" applyBorder="1" applyProtection="1">
      <protection hidden="1"/>
    </xf>
    <xf numFmtId="0" fontId="0" fillId="0" borderId="0" xfId="0" applyBorder="1" applyProtection="1">
      <protection hidden="1"/>
    </xf>
    <xf numFmtId="0" fontId="3" fillId="5" borderId="28" xfId="0" applyFont="1" applyFill="1" applyBorder="1" applyAlignment="1" applyProtection="1">
      <alignment horizontal="left" indent="1"/>
      <protection hidden="1"/>
    </xf>
    <xf numFmtId="0" fontId="3" fillId="0" borderId="11" xfId="0" applyFont="1" applyFill="1" applyBorder="1" applyProtection="1">
      <protection hidden="1"/>
    </xf>
    <xf numFmtId="10" fontId="15" fillId="0" borderId="11" xfId="2" applyNumberFormat="1" applyFont="1" applyFill="1" applyBorder="1" applyAlignment="1" applyProtection="1">
      <alignment horizontal="right" indent="2"/>
      <protection hidden="1"/>
    </xf>
    <xf numFmtId="10" fontId="34" fillId="0" borderId="11" xfId="2" applyNumberFormat="1" applyFont="1" applyFill="1" applyBorder="1" applyAlignment="1" applyProtection="1">
      <alignment horizontal="right" indent="2"/>
      <protection hidden="1"/>
    </xf>
    <xf numFmtId="10" fontId="34" fillId="0" borderId="52" xfId="2" applyNumberFormat="1" applyFont="1" applyFill="1" applyBorder="1" applyAlignment="1" applyProtection="1">
      <alignment horizontal="right" indent="2"/>
      <protection hidden="1"/>
    </xf>
    <xf numFmtId="10" fontId="0" fillId="0" borderId="0" xfId="2" applyNumberFormat="1" applyFont="1" applyAlignment="1" applyProtection="1">
      <alignment horizontal="center"/>
      <protection hidden="1"/>
    </xf>
    <xf numFmtId="0" fontId="31" fillId="5" borderId="0" xfId="0" applyFont="1" applyFill="1" applyBorder="1" applyAlignment="1" applyProtection="1">
      <alignment horizontal="left"/>
      <protection hidden="1"/>
    </xf>
    <xf numFmtId="49" fontId="0" fillId="5" borderId="21" xfId="0" applyNumberFormat="1" applyFont="1" applyFill="1" applyBorder="1" applyProtection="1">
      <protection hidden="1"/>
    </xf>
    <xf numFmtId="44" fontId="18" fillId="5" borderId="2" xfId="0" applyNumberFormat="1" applyFont="1" applyFill="1" applyBorder="1" applyAlignment="1" applyProtection="1">
      <alignment horizontal="left"/>
      <protection hidden="1"/>
    </xf>
    <xf numFmtId="0" fontId="6" fillId="5" borderId="2" xfId="0" applyFont="1" applyFill="1" applyBorder="1" applyAlignment="1" applyProtection="1">
      <alignment horizontal="center"/>
      <protection hidden="1"/>
    </xf>
    <xf numFmtId="0" fontId="6" fillId="5" borderId="27" xfId="0" applyFont="1" applyFill="1" applyBorder="1" applyAlignment="1" applyProtection="1">
      <alignment horizontal="center"/>
      <protection hidden="1"/>
    </xf>
    <xf numFmtId="0" fontId="0" fillId="0" borderId="21" xfId="0" applyBorder="1" applyProtection="1">
      <protection hidden="1"/>
    </xf>
    <xf numFmtId="44" fontId="18" fillId="5" borderId="2" xfId="0" applyNumberFormat="1" applyFont="1" applyFill="1" applyBorder="1" applyProtection="1">
      <protection hidden="1"/>
    </xf>
    <xf numFmtId="177" fontId="6" fillId="5" borderId="2" xfId="0" applyNumberFormat="1" applyFont="1" applyFill="1" applyBorder="1" applyAlignment="1" applyProtection="1">
      <alignment horizontal="center"/>
      <protection hidden="1"/>
    </xf>
    <xf numFmtId="0" fontId="0" fillId="0" borderId="6" xfId="0" applyBorder="1" applyProtection="1">
      <protection hidden="1"/>
    </xf>
    <xf numFmtId="44" fontId="18" fillId="5" borderId="18" xfId="0" applyNumberFormat="1" applyFont="1" applyFill="1" applyBorder="1" applyProtection="1">
      <protection hidden="1"/>
    </xf>
    <xf numFmtId="0" fontId="0" fillId="0" borderId="2" xfId="0" applyBorder="1" applyProtection="1">
      <protection hidden="1"/>
    </xf>
    <xf numFmtId="10" fontId="15" fillId="0" borderId="38" xfId="2" applyNumberFormat="1" applyFont="1" applyFill="1" applyBorder="1" applyAlignment="1" applyProtection="1">
      <alignment horizontal="right" indent="1"/>
      <protection hidden="1"/>
    </xf>
    <xf numFmtId="10" fontId="15" fillId="0" borderId="49" xfId="2" applyNumberFormat="1" applyFont="1" applyFill="1" applyBorder="1" applyAlignment="1" applyProtection="1">
      <alignment horizontal="right" indent="1"/>
      <protection hidden="1"/>
    </xf>
    <xf numFmtId="49" fontId="8" fillId="5" borderId="21" xfId="0" applyNumberFormat="1" applyFont="1" applyFill="1" applyBorder="1" applyProtection="1">
      <protection hidden="1"/>
    </xf>
    <xf numFmtId="0" fontId="0" fillId="0" borderId="18" xfId="0" applyBorder="1" applyProtection="1">
      <protection hidden="1"/>
    </xf>
    <xf numFmtId="179" fontId="0" fillId="0" borderId="38" xfId="2" applyNumberFormat="1" applyFont="1" applyBorder="1" applyAlignment="1" applyProtection="1">
      <alignment horizontal="right" indent="1"/>
      <protection hidden="1"/>
    </xf>
    <xf numFmtId="179" fontId="0" fillId="0" borderId="49" xfId="2" applyNumberFormat="1" applyFont="1" applyBorder="1" applyAlignment="1" applyProtection="1">
      <alignment horizontal="right" indent="1"/>
      <protection hidden="1"/>
    </xf>
    <xf numFmtId="172" fontId="9" fillId="0" borderId="38" xfId="2" applyNumberFormat="1" applyFont="1" applyFill="1" applyBorder="1" applyAlignment="1" applyProtection="1">
      <alignment horizontal="right" indent="1"/>
      <protection hidden="1"/>
    </xf>
    <xf numFmtId="172" fontId="9" fillId="0" borderId="49" xfId="2" applyNumberFormat="1" applyFont="1" applyFill="1" applyBorder="1" applyAlignment="1" applyProtection="1">
      <alignment horizontal="right" indent="1"/>
      <protection hidden="1"/>
    </xf>
    <xf numFmtId="0" fontId="3" fillId="0" borderId="2" xfId="0" applyFont="1" applyBorder="1" applyProtection="1">
      <protection hidden="1"/>
    </xf>
    <xf numFmtId="172" fontId="34" fillId="0" borderId="38" xfId="2" applyNumberFormat="1" applyFont="1" applyFill="1" applyBorder="1" applyAlignment="1" applyProtection="1">
      <alignment horizontal="right" indent="1"/>
      <protection hidden="1"/>
    </xf>
    <xf numFmtId="172" fontId="34" fillId="0" borderId="49" xfId="2" applyNumberFormat="1" applyFont="1" applyFill="1" applyBorder="1" applyAlignment="1" applyProtection="1">
      <alignment horizontal="right" indent="1"/>
      <protection hidden="1"/>
    </xf>
    <xf numFmtId="10" fontId="9" fillId="0" borderId="38" xfId="2" applyNumberFormat="1" applyFont="1" applyFill="1" applyBorder="1" applyAlignment="1" applyProtection="1">
      <alignment horizontal="right" indent="1"/>
      <protection hidden="1"/>
    </xf>
    <xf numFmtId="10" fontId="9" fillId="0" borderId="49" xfId="2" applyNumberFormat="1" applyFont="1" applyFill="1" applyBorder="1" applyAlignment="1" applyProtection="1">
      <alignment horizontal="right" indent="1"/>
      <protection hidden="1"/>
    </xf>
    <xf numFmtId="179" fontId="2" fillId="1" borderId="38" xfId="2" applyNumberFormat="1" applyFont="1" applyFill="1" applyBorder="1" applyAlignment="1" applyProtection="1">
      <alignment horizontal="right" indent="1"/>
      <protection hidden="1"/>
    </xf>
    <xf numFmtId="179" fontId="2" fillId="1" borderId="49" xfId="2" applyNumberFormat="1" applyFont="1" applyFill="1" applyBorder="1" applyAlignment="1" applyProtection="1">
      <alignment horizontal="right" indent="1"/>
      <protection hidden="1"/>
    </xf>
    <xf numFmtId="0" fontId="18" fillId="0" borderId="0" xfId="0" applyFont="1" applyProtection="1">
      <protection hidden="1"/>
    </xf>
    <xf numFmtId="169" fontId="2" fillId="1" borderId="38" xfId="2" applyNumberFormat="1" applyFont="1" applyFill="1" applyBorder="1" applyAlignment="1" applyProtection="1">
      <alignment horizontal="right" indent="1"/>
      <protection hidden="1"/>
    </xf>
    <xf numFmtId="169" fontId="9" fillId="1" borderId="38" xfId="2" applyNumberFormat="1" applyFont="1" applyFill="1" applyBorder="1" applyAlignment="1" applyProtection="1">
      <alignment horizontal="right" indent="1"/>
      <protection hidden="1"/>
    </xf>
    <xf numFmtId="179" fontId="9" fillId="0" borderId="38" xfId="2" applyNumberFormat="1" applyFont="1" applyFill="1" applyBorder="1" applyAlignment="1" applyProtection="1">
      <alignment horizontal="right" indent="1"/>
      <protection hidden="1"/>
    </xf>
    <xf numFmtId="179" fontId="9" fillId="0" borderId="49" xfId="2" applyNumberFormat="1" applyFont="1" applyFill="1" applyBorder="1" applyAlignment="1" applyProtection="1">
      <alignment horizontal="right" indent="1"/>
      <protection hidden="1"/>
    </xf>
    <xf numFmtId="0" fontId="0" fillId="0" borderId="15" xfId="0" applyBorder="1" applyProtection="1">
      <protection hidden="1"/>
    </xf>
    <xf numFmtId="0" fontId="0" fillId="5" borderId="15" xfId="0" applyFill="1" applyBorder="1" applyProtection="1">
      <protection hidden="1"/>
    </xf>
    <xf numFmtId="0" fontId="0" fillId="5" borderId="21" xfId="0" applyFill="1" applyBorder="1" applyProtection="1">
      <protection hidden="1"/>
    </xf>
    <xf numFmtId="179" fontId="30" fillId="0" borderId="38" xfId="2" applyNumberFormat="1" applyFont="1" applyBorder="1" applyAlignment="1" applyProtection="1">
      <alignment horizontal="right" indent="1"/>
      <protection hidden="1"/>
    </xf>
    <xf numFmtId="179" fontId="30" fillId="0" borderId="49" xfId="2" applyNumberFormat="1" applyFont="1" applyBorder="1" applyAlignment="1" applyProtection="1">
      <alignment horizontal="right" indent="1"/>
      <protection hidden="1"/>
    </xf>
    <xf numFmtId="0" fontId="0" fillId="1" borderId="53" xfId="0" applyFill="1" applyBorder="1" applyAlignment="1" applyProtection="1">
      <alignment horizontal="right" indent="1"/>
      <protection hidden="1"/>
    </xf>
    <xf numFmtId="0" fontId="6" fillId="0" borderId="3" xfId="0" applyFont="1" applyBorder="1" applyProtection="1">
      <protection hidden="1"/>
    </xf>
    <xf numFmtId="0" fontId="3" fillId="0" borderId="0" xfId="0" applyFont="1" applyBorder="1" applyProtection="1">
      <protection hidden="1"/>
    </xf>
    <xf numFmtId="179" fontId="3" fillId="0" borderId="17" xfId="2" applyNumberFormat="1" applyFont="1" applyBorder="1" applyAlignment="1" applyProtection="1">
      <alignment horizontal="right" indent="1"/>
      <protection hidden="1"/>
    </xf>
    <xf numFmtId="179" fontId="3" fillId="0" borderId="49" xfId="2" applyNumberFormat="1" applyFont="1" applyBorder="1" applyAlignment="1" applyProtection="1">
      <alignment horizontal="right" indent="1"/>
      <protection hidden="1"/>
    </xf>
    <xf numFmtId="165" fontId="0" fillId="0" borderId="0" xfId="2" applyNumberFormat="1" applyFont="1" applyBorder="1" applyProtection="1">
      <protection hidden="1"/>
    </xf>
    <xf numFmtId="165" fontId="0" fillId="0" borderId="7" xfId="2" applyNumberFormat="1" applyFont="1" applyBorder="1" applyProtection="1">
      <protection hidden="1"/>
    </xf>
    <xf numFmtId="172" fontId="30" fillId="0" borderId="38" xfId="0" applyNumberFormat="1" applyFont="1" applyBorder="1" applyAlignment="1" applyProtection="1">
      <alignment horizontal="right" indent="1"/>
      <protection hidden="1"/>
    </xf>
    <xf numFmtId="172" fontId="0" fillId="0" borderId="38" xfId="0" applyNumberFormat="1" applyBorder="1" applyAlignment="1" applyProtection="1">
      <alignment horizontal="right" indent="1"/>
      <protection hidden="1"/>
    </xf>
    <xf numFmtId="172" fontId="0" fillId="0" borderId="49" xfId="0" applyNumberFormat="1" applyBorder="1" applyAlignment="1" applyProtection="1">
      <alignment horizontal="right" indent="1"/>
      <protection hidden="1"/>
    </xf>
    <xf numFmtId="0" fontId="0" fillId="0" borderId="8" xfId="0" applyBorder="1" applyProtection="1">
      <protection hidden="1"/>
    </xf>
    <xf numFmtId="165" fontId="0" fillId="0" borderId="9" xfId="2" applyNumberFormat="1" applyFont="1" applyBorder="1" applyProtection="1">
      <protection hidden="1"/>
    </xf>
    <xf numFmtId="165" fontId="0" fillId="0" borderId="10" xfId="2" applyNumberFormat="1" applyFont="1" applyBorder="1" applyProtection="1">
      <protection hidden="1"/>
    </xf>
    <xf numFmtId="172" fontId="0" fillId="1" borderId="38" xfId="0" applyNumberFormat="1" applyFill="1" applyBorder="1" applyAlignment="1" applyProtection="1">
      <alignment horizontal="right" indent="1"/>
      <protection hidden="1"/>
    </xf>
    <xf numFmtId="172" fontId="30" fillId="0" borderId="49" xfId="0" applyNumberFormat="1" applyFont="1" applyBorder="1" applyAlignment="1" applyProtection="1">
      <alignment horizontal="right" indent="1"/>
      <protection hidden="1"/>
    </xf>
    <xf numFmtId="0" fontId="3" fillId="0" borderId="18" xfId="0" applyFont="1" applyBorder="1" applyProtection="1">
      <protection hidden="1"/>
    </xf>
    <xf numFmtId="179" fontId="3" fillId="0" borderId="38" xfId="2" applyNumberFormat="1" applyFont="1" applyBorder="1" applyAlignment="1" applyProtection="1">
      <alignment horizontal="right" indent="1"/>
      <protection hidden="1"/>
    </xf>
    <xf numFmtId="49" fontId="3" fillId="13" borderId="21" xfId="0" applyNumberFormat="1" applyFont="1" applyFill="1" applyBorder="1" applyProtection="1">
      <protection hidden="1"/>
    </xf>
    <xf numFmtId="0" fontId="0" fillId="13" borderId="2" xfId="0" applyFill="1" applyBorder="1" applyProtection="1">
      <protection hidden="1"/>
    </xf>
    <xf numFmtId="179" fontId="34" fillId="13" borderId="11" xfId="2" applyNumberFormat="1" applyFont="1" applyFill="1" applyBorder="1" applyAlignment="1" applyProtection="1">
      <alignment horizontal="right" indent="1"/>
      <protection hidden="1"/>
    </xf>
    <xf numFmtId="179" fontId="34" fillId="13" borderId="52" xfId="2" applyNumberFormat="1" applyFont="1" applyFill="1" applyBorder="1" applyAlignment="1" applyProtection="1">
      <alignment horizontal="right" indent="1"/>
      <protection hidden="1"/>
    </xf>
    <xf numFmtId="0" fontId="0" fillId="0" borderId="38" xfId="0" applyBorder="1" applyAlignment="1" applyProtection="1">
      <alignment horizontal="right" indent="1"/>
      <protection hidden="1"/>
    </xf>
    <xf numFmtId="0" fontId="0" fillId="0" borderId="49" xfId="0" applyBorder="1" applyAlignment="1" applyProtection="1">
      <alignment horizontal="right" indent="1"/>
      <protection hidden="1"/>
    </xf>
    <xf numFmtId="0" fontId="0" fillId="1" borderId="38" xfId="0" applyFill="1" applyBorder="1" applyAlignment="1" applyProtection="1">
      <alignment horizontal="right" indent="1"/>
      <protection hidden="1"/>
    </xf>
    <xf numFmtId="0" fontId="0" fillId="0" borderId="22" xfId="0" applyBorder="1" applyProtection="1">
      <protection hidden="1"/>
    </xf>
    <xf numFmtId="0" fontId="3" fillId="0" borderId="22" xfId="0" applyFont="1" applyBorder="1" applyProtection="1">
      <protection hidden="1"/>
    </xf>
    <xf numFmtId="49" fontId="3" fillId="13" borderId="28" xfId="0" applyNumberFormat="1" applyFont="1" applyFill="1" applyBorder="1" applyProtection="1">
      <protection hidden="1"/>
    </xf>
    <xf numFmtId="0" fontId="0" fillId="13" borderId="12" xfId="0" applyFill="1" applyBorder="1" applyProtection="1">
      <protection hidden="1"/>
    </xf>
    <xf numFmtId="0" fontId="24" fillId="0" borderId="0" xfId="0" applyFont="1" applyFill="1" applyProtection="1">
      <protection hidden="1"/>
    </xf>
    <xf numFmtId="0" fontId="0" fillId="0" borderId="16" xfId="0" applyBorder="1" applyProtection="1">
      <protection hidden="1"/>
    </xf>
    <xf numFmtId="0" fontId="0" fillId="0" borderId="12" xfId="0" applyBorder="1" applyProtection="1">
      <protection hidden="1"/>
    </xf>
    <xf numFmtId="0" fontId="0" fillId="0" borderId="0" xfId="0" applyFill="1" applyBorder="1" applyProtection="1">
      <protection hidden="1"/>
    </xf>
    <xf numFmtId="169" fontId="9" fillId="0" borderId="4" xfId="0" applyNumberFormat="1" applyFont="1" applyFill="1" applyBorder="1" applyAlignment="1" applyProtection="1">
      <alignment horizontal="right" indent="1"/>
      <protection hidden="1"/>
    </xf>
    <xf numFmtId="169" fontId="9" fillId="0" borderId="5" xfId="0" applyNumberFormat="1" applyFont="1" applyFill="1" applyBorder="1" applyAlignment="1" applyProtection="1">
      <alignment horizontal="right" indent="1"/>
      <protection hidden="1"/>
    </xf>
    <xf numFmtId="0" fontId="0" fillId="0" borderId="8" xfId="0" applyFill="1" applyBorder="1" applyProtection="1">
      <protection hidden="1"/>
    </xf>
    <xf numFmtId="0" fontId="0" fillId="0" borderId="9" xfId="0" applyFill="1" applyBorder="1" applyProtection="1">
      <protection hidden="1"/>
    </xf>
    <xf numFmtId="169" fontId="9" fillId="0" borderId="9" xfId="0" applyNumberFormat="1" applyFont="1" applyFill="1" applyBorder="1" applyAlignment="1" applyProtection="1">
      <alignment horizontal="center"/>
      <protection hidden="1"/>
    </xf>
    <xf numFmtId="169" fontId="9" fillId="0" borderId="9" xfId="0" applyNumberFormat="1" applyFont="1" applyFill="1" applyBorder="1" applyAlignment="1" applyProtection="1">
      <alignment horizontal="right" indent="1"/>
      <protection hidden="1"/>
    </xf>
    <xf numFmtId="169" fontId="9" fillId="0" borderId="10" xfId="0" applyNumberFormat="1" applyFont="1" applyFill="1" applyBorder="1" applyAlignment="1" applyProtection="1">
      <alignment horizontal="right" indent="1"/>
      <protection hidden="1"/>
    </xf>
    <xf numFmtId="169" fontId="9" fillId="0" borderId="0" xfId="0" applyNumberFormat="1" applyFont="1" applyFill="1" applyBorder="1" applyAlignment="1" applyProtection="1">
      <alignment horizontal="center"/>
      <protection hidden="1"/>
    </xf>
    <xf numFmtId="169" fontId="9" fillId="0" borderId="0" xfId="0" applyNumberFormat="1" applyFont="1" applyFill="1" applyBorder="1" applyAlignment="1" applyProtection="1">
      <alignment horizontal="right" indent="1"/>
      <protection hidden="1"/>
    </xf>
    <xf numFmtId="0" fontId="0" fillId="11" borderId="38" xfId="0" applyFill="1" applyBorder="1" applyProtection="1">
      <protection hidden="1"/>
    </xf>
    <xf numFmtId="0" fontId="0" fillId="11" borderId="11" xfId="0" applyFill="1" applyBorder="1" applyProtection="1">
      <protection hidden="1"/>
    </xf>
    <xf numFmtId="0" fontId="0" fillId="0" borderId="21" xfId="0" applyFill="1" applyBorder="1" applyProtection="1">
      <protection locked="0"/>
    </xf>
    <xf numFmtId="0" fontId="0" fillId="0" borderId="6" xfId="0" applyFill="1" applyBorder="1" applyProtection="1">
      <protection locked="0"/>
    </xf>
    <xf numFmtId="39" fontId="15" fillId="2" borderId="38" xfId="1" applyNumberFormat="1" applyFont="1" applyFill="1" applyBorder="1" applyAlignment="1" applyProtection="1">
      <alignment horizontal="center"/>
      <protection locked="0"/>
    </xf>
    <xf numFmtId="4" fontId="9" fillId="0" borderId="38" xfId="2" applyNumberFormat="1" applyFont="1" applyFill="1" applyBorder="1" applyAlignment="1" applyProtection="1">
      <alignment horizontal="right" indent="2"/>
      <protection locked="0"/>
    </xf>
    <xf numFmtId="4" fontId="9" fillId="0" borderId="49" xfId="2" applyNumberFormat="1" applyFont="1" applyFill="1" applyBorder="1" applyAlignment="1" applyProtection="1">
      <alignment horizontal="right" indent="2"/>
      <protection locked="0"/>
    </xf>
    <xf numFmtId="49" fontId="15" fillId="2" borderId="21" xfId="0" applyNumberFormat="1" applyFont="1" applyFill="1" applyBorder="1" applyProtection="1">
      <protection locked="0"/>
    </xf>
    <xf numFmtId="49" fontId="15" fillId="2" borderId="28" xfId="0" applyNumberFormat="1" applyFont="1" applyFill="1" applyBorder="1" applyProtection="1">
      <protection locked="0"/>
    </xf>
    <xf numFmtId="0" fontId="6" fillId="5" borderId="40" xfId="0" applyFont="1" applyFill="1" applyBorder="1" applyAlignment="1" applyProtection="1">
      <alignment horizontal="center"/>
    </xf>
    <xf numFmtId="164" fontId="0" fillId="0" borderId="0" xfId="1" applyNumberFormat="1" applyFont="1" applyProtection="1">
      <protection hidden="1"/>
    </xf>
    <xf numFmtId="164" fontId="0" fillId="0" borderId="0" xfId="0" applyNumberFormat="1" applyProtection="1">
      <protection hidden="1"/>
    </xf>
    <xf numFmtId="177" fontId="0" fillId="0" borderId="0" xfId="0" applyNumberFormat="1" applyProtection="1">
      <protection hidden="1"/>
    </xf>
    <xf numFmtId="0" fontId="20" fillId="6" borderId="0" xfId="0" applyNumberFormat="1" applyFont="1" applyFill="1" applyAlignment="1" applyProtection="1">
      <alignment horizontal="center" vertical="center"/>
    </xf>
    <xf numFmtId="0" fontId="3" fillId="0" borderId="0" xfId="1" applyNumberFormat="1" applyFont="1" applyAlignment="1"/>
    <xf numFmtId="0" fontId="55" fillId="4" borderId="60" xfId="0" applyFont="1" applyFill="1" applyBorder="1" applyAlignment="1" applyProtection="1">
      <alignment horizontal="left"/>
    </xf>
    <xf numFmtId="0" fontId="55" fillId="4" borderId="22" xfId="0" applyFont="1" applyFill="1" applyBorder="1" applyAlignment="1" applyProtection="1">
      <alignment horizontal="left"/>
    </xf>
    <xf numFmtId="0" fontId="55" fillId="4" borderId="22" xfId="0" applyFont="1" applyFill="1" applyBorder="1" applyAlignment="1" applyProtection="1"/>
    <xf numFmtId="0" fontId="54" fillId="4" borderId="7" xfId="2" applyNumberFormat="1" applyFont="1" applyFill="1" applyBorder="1" applyAlignment="1" applyProtection="1">
      <alignment horizontal="center"/>
    </xf>
    <xf numFmtId="182" fontId="0" fillId="0" borderId="0" xfId="9" applyNumberFormat="1" applyFont="1"/>
    <xf numFmtId="0" fontId="0" fillId="17" borderId="62" xfId="0" applyFont="1" applyFill="1" applyBorder="1" applyAlignment="1">
      <alignment vertical="center" wrapText="1"/>
    </xf>
    <xf numFmtId="165" fontId="0" fillId="0" borderId="0" xfId="2" applyNumberFormat="1" applyFont="1" applyAlignment="1">
      <alignment vertical="center" wrapText="1"/>
    </xf>
    <xf numFmtId="0" fontId="0" fillId="0" borderId="0" xfId="0" applyBorder="1" applyAlignment="1">
      <alignment wrapText="1"/>
    </xf>
    <xf numFmtId="0" fontId="22" fillId="16" borderId="64" xfId="0" applyFont="1" applyFill="1" applyBorder="1" applyAlignment="1">
      <alignment horizontal="center" wrapText="1"/>
    </xf>
    <xf numFmtId="0" fontId="22" fillId="16" borderId="65" xfId="0" applyFont="1" applyFill="1" applyBorder="1" applyAlignment="1">
      <alignment wrapText="1"/>
    </xf>
    <xf numFmtId="182" fontId="22" fillId="16" borderId="65" xfId="9" applyNumberFormat="1" applyFont="1" applyFill="1" applyBorder="1" applyAlignment="1">
      <alignment wrapText="1"/>
    </xf>
    <xf numFmtId="0" fontId="22" fillId="16" borderId="65" xfId="0" applyFont="1" applyFill="1" applyBorder="1" applyAlignment="1">
      <alignment horizontal="center" wrapText="1"/>
    </xf>
    <xf numFmtId="0" fontId="22" fillId="16" borderId="66" xfId="0" applyFont="1" applyFill="1" applyBorder="1" applyAlignment="1">
      <alignment wrapText="1"/>
    </xf>
    <xf numFmtId="0" fontId="0" fillId="17" borderId="67" xfId="0" applyFont="1" applyFill="1" applyBorder="1" applyAlignment="1">
      <alignment horizontal="center" vertical="center" wrapText="1"/>
    </xf>
    <xf numFmtId="0" fontId="0" fillId="17" borderId="22" xfId="0" applyFont="1" applyFill="1" applyBorder="1" applyAlignment="1">
      <alignment vertical="center" wrapText="1"/>
    </xf>
    <xf numFmtId="182" fontId="0" fillId="17" borderId="22" xfId="9" applyNumberFormat="1" applyFont="1" applyFill="1" applyBorder="1" applyAlignment="1">
      <alignment vertical="center" wrapText="1"/>
    </xf>
    <xf numFmtId="0" fontId="0" fillId="17" borderId="22" xfId="0" applyFont="1" applyFill="1" applyBorder="1" applyAlignment="1">
      <alignment horizontal="center" vertical="center" wrapText="1"/>
    </xf>
    <xf numFmtId="165" fontId="0" fillId="17" borderId="68" xfId="2" applyNumberFormat="1" applyFont="1" applyFill="1" applyBorder="1" applyAlignment="1">
      <alignment vertical="center" wrapText="1"/>
    </xf>
    <xf numFmtId="0" fontId="0" fillId="0" borderId="64" xfId="0" applyFont="1" applyBorder="1" applyAlignment="1">
      <alignment horizontal="center" vertical="center" wrapText="1"/>
    </xf>
    <xf numFmtId="0" fontId="0" fillId="0" borderId="65" xfId="0" applyFont="1" applyBorder="1" applyAlignment="1">
      <alignment vertical="center" wrapText="1"/>
    </xf>
    <xf numFmtId="182" fontId="0" fillId="0" borderId="65" xfId="9" applyNumberFormat="1" applyFont="1" applyBorder="1" applyAlignment="1">
      <alignment vertical="center" wrapText="1"/>
    </xf>
    <xf numFmtId="0" fontId="0" fillId="0" borderId="65" xfId="0" applyFont="1" applyBorder="1" applyAlignment="1">
      <alignment horizontal="center" vertical="center" wrapText="1"/>
    </xf>
    <xf numFmtId="165" fontId="0" fillId="0" borderId="66" xfId="2" applyNumberFormat="1" applyFont="1" applyBorder="1" applyAlignment="1">
      <alignment vertical="center" wrapText="1"/>
    </xf>
    <xf numFmtId="0" fontId="0" fillId="17" borderId="64" xfId="0" applyFont="1" applyFill="1" applyBorder="1" applyAlignment="1">
      <alignment horizontal="center" vertical="center" wrapText="1"/>
    </xf>
    <xf numFmtId="0" fontId="0" fillId="17" borderId="65" xfId="0" applyFont="1" applyFill="1" applyBorder="1" applyAlignment="1">
      <alignment vertical="center" wrapText="1"/>
    </xf>
    <xf numFmtId="182" fontId="0" fillId="17" borderId="65" xfId="9" applyNumberFormat="1" applyFont="1" applyFill="1" applyBorder="1" applyAlignment="1">
      <alignment vertical="center" wrapText="1"/>
    </xf>
    <xf numFmtId="0" fontId="0" fillId="17" borderId="65" xfId="0" applyFont="1" applyFill="1" applyBorder="1" applyAlignment="1">
      <alignment horizontal="center" vertical="center" wrapText="1"/>
    </xf>
    <xf numFmtId="165" fontId="0" fillId="17" borderId="66" xfId="2" applyNumberFormat="1" applyFont="1" applyFill="1" applyBorder="1" applyAlignment="1">
      <alignment vertical="center" wrapText="1"/>
    </xf>
    <xf numFmtId="0" fontId="0" fillId="17" borderId="61" xfId="0" applyFont="1" applyFill="1" applyBorder="1" applyAlignment="1">
      <alignment horizontal="center" vertical="center" wrapText="1"/>
    </xf>
    <xf numFmtId="182" fontId="0" fillId="17" borderId="62" xfId="9" applyNumberFormat="1" applyFont="1" applyFill="1" applyBorder="1" applyAlignment="1">
      <alignment vertical="center" wrapText="1"/>
    </xf>
    <xf numFmtId="0" fontId="0" fillId="17" borderId="62" xfId="0" applyFont="1" applyFill="1" applyBorder="1" applyAlignment="1">
      <alignment horizontal="center" vertical="center" wrapText="1"/>
    </xf>
    <xf numFmtId="165" fontId="0" fillId="17" borderId="63" xfId="2" applyNumberFormat="1" applyFont="1" applyFill="1" applyBorder="1" applyAlignment="1">
      <alignment vertical="center" wrapText="1"/>
    </xf>
    <xf numFmtId="182" fontId="3" fillId="0" borderId="2" xfId="9" applyNumberFormat="1" applyFont="1" applyBorder="1"/>
    <xf numFmtId="0" fontId="3" fillId="0" borderId="18" xfId="0" applyFont="1" applyBorder="1"/>
    <xf numFmtId="0" fontId="3" fillId="0" borderId="18" xfId="0" applyFont="1" applyBorder="1" applyAlignment="1">
      <alignment horizontal="center"/>
    </xf>
    <xf numFmtId="182" fontId="3" fillId="0" borderId="1" xfId="9" applyNumberFormat="1" applyFont="1" applyBorder="1"/>
    <xf numFmtId="182" fontId="0" fillId="0" borderId="0" xfId="0" applyNumberFormat="1"/>
    <xf numFmtId="6" fontId="0" fillId="0" borderId="1" xfId="0" applyNumberFormat="1" applyBorder="1"/>
    <xf numFmtId="0" fontId="3" fillId="0" borderId="0" xfId="0" applyFont="1" applyBorder="1" applyAlignment="1">
      <alignment horizontal="center"/>
    </xf>
    <xf numFmtId="182" fontId="3" fillId="0" borderId="0" xfId="9" applyNumberFormat="1" applyFont="1" applyBorder="1"/>
    <xf numFmtId="6" fontId="0" fillId="0" borderId="0" xfId="0" applyNumberFormat="1" applyBorder="1"/>
    <xf numFmtId="0" fontId="22" fillId="16" borderId="0" xfId="0" applyFont="1" applyFill="1" applyBorder="1" applyAlignment="1">
      <alignment horizontal="center" wrapText="1"/>
    </xf>
    <xf numFmtId="164" fontId="0" fillId="17" borderId="0" xfId="1" applyNumberFormat="1" applyFont="1" applyFill="1" applyBorder="1" applyAlignment="1">
      <alignment vertical="center" wrapText="1"/>
    </xf>
    <xf numFmtId="164" fontId="0" fillId="0" borderId="0" xfId="1" applyNumberFormat="1" applyFont="1" applyBorder="1" applyAlignment="1">
      <alignment vertical="center" wrapText="1"/>
    </xf>
    <xf numFmtId="0" fontId="0" fillId="0" borderId="65" xfId="0" applyFont="1" applyFill="1" applyBorder="1" applyAlignment="1">
      <alignment horizontal="center" vertical="center" wrapText="1"/>
    </xf>
    <xf numFmtId="165" fontId="0" fillId="0" borderId="66" xfId="2" applyNumberFormat="1" applyFont="1" applyFill="1" applyBorder="1" applyAlignment="1">
      <alignment vertical="center" wrapText="1"/>
    </xf>
    <xf numFmtId="164" fontId="0" fillId="0" borderId="0" xfId="1" applyNumberFormat="1" applyFont="1" applyFill="1" applyBorder="1" applyAlignment="1">
      <alignment vertical="center" wrapText="1"/>
    </xf>
    <xf numFmtId="0" fontId="0" fillId="0" borderId="0" xfId="0" applyAlignment="1">
      <alignment shrinkToFit="1"/>
    </xf>
    <xf numFmtId="0" fontId="51" fillId="4" borderId="43" xfId="0" applyFont="1" applyFill="1" applyBorder="1" applyAlignment="1" applyProtection="1">
      <alignment wrapText="1"/>
      <protection hidden="1"/>
    </xf>
    <xf numFmtId="0" fontId="51" fillId="0" borderId="18" xfId="0" applyFont="1" applyBorder="1" applyAlignment="1" applyProtection="1">
      <alignment wrapText="1"/>
      <protection hidden="1"/>
    </xf>
    <xf numFmtId="0" fontId="51" fillId="0" borderId="44" xfId="0" applyFont="1" applyBorder="1" applyAlignment="1" applyProtection="1">
      <alignment wrapText="1"/>
      <protection hidden="1"/>
    </xf>
    <xf numFmtId="0" fontId="3" fillId="0" borderId="0" xfId="0" applyFont="1" applyAlignment="1">
      <alignment horizontal="center"/>
    </xf>
    <xf numFmtId="0" fontId="10" fillId="9" borderId="0" xfId="0" applyFont="1" applyFill="1" applyAlignment="1" applyProtection="1">
      <alignment horizontal="center"/>
      <protection hidden="1"/>
    </xf>
    <xf numFmtId="49" fontId="0" fillId="5" borderId="21" xfId="0" applyNumberFormat="1" applyFont="1" applyFill="1" applyBorder="1" applyAlignment="1" applyProtection="1">
      <alignment horizontal="left"/>
    </xf>
    <xf numFmtId="49" fontId="0" fillId="5" borderId="2" xfId="0" applyNumberFormat="1" applyFont="1" applyFill="1" applyBorder="1" applyAlignment="1" applyProtection="1">
      <alignment horizontal="left"/>
    </xf>
    <xf numFmtId="49" fontId="0" fillId="5" borderId="28" xfId="0" applyNumberFormat="1" applyFont="1" applyFill="1" applyBorder="1" applyAlignment="1" applyProtection="1">
      <alignment horizontal="left"/>
    </xf>
    <xf numFmtId="49" fontId="0" fillId="5" borderId="12" xfId="0" applyNumberFormat="1" applyFont="1" applyFill="1" applyBorder="1" applyAlignment="1" applyProtection="1">
      <alignment horizontal="left"/>
    </xf>
    <xf numFmtId="0" fontId="3" fillId="5" borderId="26" xfId="3" applyFont="1" applyFill="1" applyBorder="1" applyAlignment="1" applyProtection="1">
      <alignment horizontal="center"/>
    </xf>
    <xf numFmtId="0" fontId="3" fillId="5" borderId="16" xfId="3" applyFont="1" applyFill="1" applyBorder="1" applyAlignment="1" applyProtection="1">
      <alignment horizontal="center"/>
    </xf>
    <xf numFmtId="0" fontId="3" fillId="5" borderId="13" xfId="3" applyFont="1" applyFill="1" applyBorder="1" applyAlignment="1" applyProtection="1">
      <alignment horizontal="center"/>
    </xf>
    <xf numFmtId="0" fontId="0" fillId="5" borderId="21" xfId="0" applyFont="1" applyFill="1" applyBorder="1" applyAlignment="1" applyProtection="1">
      <alignment horizontal="left"/>
    </xf>
    <xf numFmtId="0" fontId="0" fillId="5" borderId="2" xfId="0" applyFont="1" applyFill="1" applyBorder="1" applyAlignment="1" applyProtection="1">
      <alignment horizontal="left"/>
    </xf>
    <xf numFmtId="0" fontId="3" fillId="5" borderId="4" xfId="0" applyFont="1" applyFill="1" applyBorder="1" applyAlignment="1" applyProtection="1">
      <alignment horizontal="center"/>
    </xf>
    <xf numFmtId="0" fontId="3" fillId="5" borderId="5" xfId="0" applyFont="1" applyFill="1" applyBorder="1" applyAlignment="1" applyProtection="1">
      <alignment horizontal="center"/>
    </xf>
    <xf numFmtId="0" fontId="15" fillId="2" borderId="54" xfId="0" applyFont="1" applyFill="1" applyBorder="1" applyAlignment="1" applyProtection="1">
      <alignment horizontal="center"/>
      <protection locked="0"/>
    </xf>
    <xf numFmtId="0" fontId="15" fillId="2" borderId="2" xfId="0" applyFont="1" applyFill="1" applyBorder="1" applyAlignment="1" applyProtection="1">
      <alignment horizontal="center"/>
      <protection locked="0"/>
    </xf>
    <xf numFmtId="0" fontId="15" fillId="2" borderId="55" xfId="0" applyFont="1" applyFill="1" applyBorder="1" applyAlignment="1" applyProtection="1">
      <alignment horizontal="center"/>
      <protection locked="0"/>
    </xf>
    <xf numFmtId="0" fontId="3" fillId="7" borderId="6" xfId="0" applyFont="1" applyFill="1" applyBorder="1" applyAlignment="1" applyProtection="1">
      <alignment horizontal="center" vertical="center"/>
      <protection hidden="1"/>
    </xf>
    <xf numFmtId="0" fontId="3" fillId="7" borderId="0" xfId="0" applyFont="1" applyFill="1" applyBorder="1" applyAlignment="1" applyProtection="1">
      <alignment horizontal="center" vertical="center"/>
      <protection hidden="1"/>
    </xf>
    <xf numFmtId="0" fontId="3" fillId="7" borderId="7" xfId="0" applyFont="1" applyFill="1" applyBorder="1" applyAlignment="1" applyProtection="1">
      <alignment horizontal="center" vertical="center"/>
      <protection hidden="1"/>
    </xf>
    <xf numFmtId="0" fontId="24" fillId="5" borderId="3" xfId="0" applyFont="1" applyFill="1" applyBorder="1" applyAlignment="1" applyProtection="1">
      <alignment vertical="center"/>
    </xf>
    <xf numFmtId="0" fontId="24" fillId="5" borderId="5" xfId="0" applyFont="1" applyFill="1" applyBorder="1" applyAlignment="1" applyProtection="1">
      <alignment vertical="center"/>
    </xf>
    <xf numFmtId="0" fontId="53" fillId="4" borderId="0" xfId="0" applyFont="1" applyFill="1" applyAlignment="1" applyProtection="1">
      <alignment wrapText="1"/>
    </xf>
    <xf numFmtId="0" fontId="53" fillId="0" borderId="0" xfId="0" applyFont="1" applyAlignment="1">
      <alignment wrapText="1"/>
    </xf>
    <xf numFmtId="0" fontId="3" fillId="5" borderId="3" xfId="0" applyFont="1" applyFill="1" applyBorder="1" applyAlignment="1" applyProtection="1">
      <alignment horizontal="center"/>
    </xf>
    <xf numFmtId="0" fontId="0" fillId="0" borderId="3" xfId="0" applyFill="1" applyBorder="1" applyAlignment="1" applyProtection="1">
      <alignment horizontal="left"/>
      <protection hidden="1"/>
    </xf>
    <xf numFmtId="0" fontId="0" fillId="0" borderId="4" xfId="0" applyFill="1" applyBorder="1" applyAlignment="1" applyProtection="1">
      <alignment horizontal="left"/>
      <protection hidden="1"/>
    </xf>
    <xf numFmtId="0" fontId="53" fillId="0" borderId="0" xfId="0" applyFont="1" applyFill="1" applyAlignment="1" applyProtection="1">
      <alignment wrapText="1"/>
      <protection hidden="1"/>
    </xf>
    <xf numFmtId="0" fontId="53" fillId="4" borderId="0" xfId="0" applyFont="1" applyFill="1" applyAlignment="1" applyProtection="1">
      <alignment wrapText="1"/>
      <protection hidden="1"/>
    </xf>
    <xf numFmtId="0" fontId="53" fillId="0" borderId="0" xfId="0" applyFont="1" applyAlignment="1" applyProtection="1">
      <alignment wrapText="1"/>
      <protection hidden="1"/>
    </xf>
  </cellXfs>
  <cellStyles count="10">
    <cellStyle name="Comma" xfId="1" builtinId="3"/>
    <cellStyle name="Comma 10" xfId="4" xr:uid="{00000000-0005-0000-0000-000001000000}"/>
    <cellStyle name="Currency" xfId="9" builtinId="4"/>
    <cellStyle name="Normal" xfId="0" builtinId="0"/>
    <cellStyle name="Normal 2 8" xfId="3" xr:uid="{00000000-0005-0000-0000-000004000000}"/>
    <cellStyle name="Normal 22 3" xfId="6" xr:uid="{00000000-0005-0000-0000-000005000000}"/>
    <cellStyle name="Normal 24 2 5" xfId="5" xr:uid="{00000000-0005-0000-0000-000006000000}"/>
    <cellStyle name="Percent" xfId="2" builtinId="5"/>
    <cellStyle name="Percent 9 2 5" xfId="8" xr:uid="{00000000-0005-0000-0000-000008000000}"/>
    <cellStyle name="Percent 9 3 2" xfId="7" xr:uid="{00000000-0005-0000-0000-000009000000}"/>
  </cellStyles>
  <dxfs count="117">
    <dxf>
      <font>
        <color theme="0" tint="-0.499984740745262"/>
      </font>
      <fill>
        <patternFill>
          <bgColor theme="0" tint="-0.14996795556505021"/>
        </patternFill>
      </fill>
    </dxf>
    <dxf>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b/>
        <i val="0"/>
        <color rgb="FFFF0000"/>
      </font>
      <fill>
        <patternFill>
          <bgColor theme="0"/>
        </patternFill>
      </fill>
    </dxf>
    <dxf>
      <font>
        <color rgb="FF0000FF"/>
      </font>
    </dxf>
    <dxf>
      <font>
        <color theme="0" tint="-0.499984740745262"/>
      </font>
      <fill>
        <patternFill>
          <bgColor theme="0" tint="-0.14996795556505021"/>
        </patternFill>
      </fill>
    </dxf>
    <dxf>
      <font>
        <b/>
        <i val="0"/>
        <color rgb="FFFF0000"/>
      </font>
      <fill>
        <patternFill>
          <bgColor theme="0"/>
        </patternFill>
      </fill>
    </dxf>
    <dxf>
      <font>
        <color rgb="FF0000FF"/>
      </font>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color rgb="FF0000FF"/>
      </font>
    </dxf>
    <dxf>
      <font>
        <b/>
        <i val="0"/>
        <color rgb="FFFF0000"/>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FFCCCC"/>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b/>
        <i val="0"/>
        <color theme="0"/>
      </font>
      <fill>
        <patternFill>
          <bgColor rgb="FFFF0000"/>
        </patternFill>
      </fill>
    </dxf>
    <dxf>
      <font>
        <b/>
        <i val="0"/>
        <color theme="0"/>
      </font>
      <fill>
        <patternFill>
          <bgColor rgb="FF009900"/>
        </patternFill>
      </fill>
    </dxf>
    <dxf>
      <font>
        <b/>
        <i val="0"/>
        <color auto="1"/>
      </font>
      <fill>
        <patternFill>
          <bgColor rgb="FFFFC000"/>
        </patternFill>
      </fill>
    </dxf>
    <dxf>
      <font>
        <b/>
        <i val="0"/>
        <color theme="0"/>
      </font>
      <fill>
        <patternFill>
          <bgColor rgb="FFFF0000"/>
        </patternFill>
      </fill>
    </dxf>
    <dxf>
      <font>
        <b/>
        <i val="0"/>
        <color theme="0"/>
      </font>
      <fill>
        <patternFill>
          <bgColor rgb="FF3366FF"/>
        </patternFill>
      </fill>
    </dxf>
    <dxf>
      <font>
        <b/>
        <i val="0"/>
        <color theme="0"/>
      </font>
      <fill>
        <patternFill>
          <bgColor rgb="FFFF66FF"/>
        </patternFill>
      </fill>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rgb="FF0000FF"/>
      </font>
    </dxf>
    <dxf>
      <font>
        <b/>
        <i val="0"/>
        <color rgb="FFFF0000"/>
      </font>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FFCCCC"/>
        </patternFill>
      </fill>
    </dxf>
    <dxf>
      <font>
        <color rgb="FF0000FF"/>
      </font>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b/>
        <i val="0"/>
        <color rgb="FFFF0000"/>
      </font>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FFCCCC"/>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FFCCCC"/>
        </patternFill>
      </fill>
    </dxf>
    <dxf>
      <fill>
        <patternFill>
          <bgColor rgb="FFFFCCCC"/>
        </patternFill>
      </fill>
    </dxf>
    <dxf>
      <fill>
        <patternFill>
          <bgColor rgb="FFFFCCCC"/>
        </patternFill>
      </fill>
    </dxf>
    <dxf>
      <fill>
        <patternFill>
          <bgColor rgb="FFFFCCCC"/>
        </patternFill>
      </fill>
    </dxf>
    <dxf>
      <font>
        <b/>
        <i val="0"/>
        <color rgb="FFFF0000"/>
      </font>
      <fill>
        <patternFill>
          <bgColor theme="0"/>
        </patternFill>
      </fill>
    </dxf>
    <dxf>
      <font>
        <color rgb="FF0000FF"/>
      </font>
    </dxf>
    <dxf>
      <font>
        <color theme="0" tint="-0.499984740745262"/>
      </font>
      <fill>
        <patternFill>
          <bgColor theme="0" tint="-0.14996795556505021"/>
        </patternFill>
      </fill>
    </dxf>
    <dxf>
      <font>
        <b/>
        <i val="0"/>
        <color rgb="FFFF0000"/>
      </font>
      <fill>
        <patternFill>
          <bgColor theme="0"/>
        </patternFill>
      </fill>
    </dxf>
    <dxf>
      <font>
        <color rgb="FF0000FF"/>
      </font>
    </dxf>
    <dxf>
      <font>
        <color theme="0" tint="-0.499984740745262"/>
      </font>
      <fill>
        <patternFill>
          <bgColor theme="0" tint="-0.14996795556505021"/>
        </patternFill>
      </fill>
    </dxf>
    <dxf>
      <font>
        <b/>
        <i val="0"/>
        <color rgb="FFFF0000"/>
      </font>
      <fill>
        <patternFill>
          <bgColor theme="0"/>
        </patternFill>
      </fill>
    </dxf>
    <dxf>
      <font>
        <color rgb="FF0000FF"/>
      </font>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color theme="0" tint="-0.499984740745262"/>
      </font>
      <fill>
        <patternFill>
          <bgColor theme="0" tint="-0.14996795556505021"/>
        </patternFill>
      </fill>
    </dxf>
    <dxf>
      <font>
        <color rgb="FF0000FF"/>
      </font>
    </dxf>
    <dxf>
      <font>
        <color theme="0" tint="-0.499984740745262"/>
      </font>
      <fill>
        <patternFill>
          <bgColor theme="0" tint="-0.14996795556505021"/>
        </patternFill>
      </fill>
    </dxf>
    <dxf>
      <font>
        <b/>
        <i val="0"/>
        <color rgb="FFFF0000"/>
      </font>
    </dxf>
    <dxf>
      <fill>
        <patternFill>
          <bgColor rgb="FFFFCCCC"/>
        </patternFill>
      </fill>
    </dxf>
    <dxf>
      <fill>
        <patternFill>
          <bgColor rgb="FFFFCCCC"/>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FFCCCC"/>
        </patternFill>
      </fill>
    </dxf>
    <dxf>
      <font>
        <b/>
        <i val="0"/>
        <color theme="0"/>
      </font>
      <fill>
        <patternFill>
          <bgColor rgb="FF009900"/>
        </patternFill>
      </fill>
    </dxf>
    <dxf>
      <font>
        <b/>
        <i val="0"/>
        <color theme="0"/>
      </font>
      <fill>
        <patternFill>
          <bgColor rgb="FF0066FF"/>
        </patternFill>
      </fill>
    </dxf>
    <dxf>
      <font>
        <b/>
        <i val="0"/>
        <color theme="1"/>
      </font>
      <fill>
        <patternFill>
          <bgColor rgb="FFFFC000"/>
        </patternFill>
      </fill>
    </dxf>
    <dxf>
      <font>
        <b/>
        <i val="0"/>
        <color theme="0"/>
      </font>
      <fill>
        <patternFill>
          <bgColor rgb="FFFF0000"/>
        </patternFill>
      </fill>
    </dxf>
    <dxf>
      <font>
        <b/>
        <i val="0"/>
        <color theme="0"/>
      </font>
      <fill>
        <patternFill>
          <bgColor rgb="FFFF66CC"/>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
      <font>
        <b/>
        <i val="0"/>
      </font>
      <fill>
        <patternFill>
          <bgColor theme="5" tint="0.59996337778862885"/>
        </patternFill>
      </fill>
    </dxf>
  </dxfs>
  <tableStyles count="0" defaultTableStyle="TableStyleMedium2" defaultPivotStyle="PivotStyleLight16"/>
  <colors>
    <mruColors>
      <color rgb="FF009900"/>
      <color rgb="FF0000FF"/>
      <color rgb="FFFF66FF"/>
      <color rgb="FFFF99FF"/>
      <color rgb="FF3366FF"/>
      <color rgb="FFFFCCCC"/>
      <color rgb="FFFFEFEF"/>
      <color rgb="FFFF9933"/>
      <color rgb="FFFFEBEB"/>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1'!$R$1</c:f>
          <c:strCache>
            <c:ptCount val="1"/>
            <c:pt idx="0">
              <c:v>Fiscal Gap - Scenario 1</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1'!$R$56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1'!$S$56:$Z$56</c:f>
              <c:numCache>
                <c:formatCode>"$"#,##0_);[Red]\("$"#,##0\)</c:formatCode>
                <c:ptCount val="8"/>
                <c:pt idx="0">
                  <c:v>54365.70860000141</c:v>
                </c:pt>
                <c:pt idx="1">
                  <c:v>-544160.69211200066</c:v>
                </c:pt>
                <c:pt idx="2">
                  <c:v>-183771.66439594948</c:v>
                </c:pt>
                <c:pt idx="3">
                  <c:v>-378214.24714714411</c:v>
                </c:pt>
                <c:pt idx="4">
                  <c:v>731782.95457323897</c:v>
                </c:pt>
                <c:pt idx="5">
                  <c:v>413693.94941162015</c:v>
                </c:pt>
                <c:pt idx="6">
                  <c:v>72287.466005772119</c:v>
                </c:pt>
                <c:pt idx="7">
                  <c:v>316643.83844063664</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1238-457F-8785-20FF4AA41739}"/>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1'!$R$53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1D53-46A6-B755-088E44F3B161}"/>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1'!$S$53:$Z$53</c:f>
              <c:numCache>
                <c:formatCode>_("$"* #,##0_);_("$"* \(#,##0\);_("$"* "-"??_);_(@_)</c:formatCode>
                <c:ptCount val="8"/>
                <c:pt idx="0">
                  <c:v>0</c:v>
                </c:pt>
                <c:pt idx="1">
                  <c:v>55000</c:v>
                </c:pt>
                <c:pt idx="2">
                  <c:v>189983.33333333334</c:v>
                </c:pt>
                <c:pt idx="3">
                  <c:v>325016.16666666669</c:v>
                </c:pt>
                <c:pt idx="4">
                  <c:v>1460099.9850000001</c:v>
                </c:pt>
                <c:pt idx="5">
                  <c:v>1487902.9845499999</c:v>
                </c:pt>
                <c:pt idx="6">
                  <c:v>1516250.0740865001</c:v>
                </c:pt>
                <c:pt idx="7">
                  <c:v>2128152.226309095</c:v>
                </c:pt>
              </c:numCache>
            </c:numRef>
          </c:val>
          <c:smooth val="0"/>
          <c:extLst>
            <c:ext xmlns:c16="http://schemas.microsoft.com/office/drawing/2014/chart" uri="{C3380CC4-5D6E-409C-BE32-E72D297353CC}">
              <c16:uniqueId val="{00000001-1D53-46A6-B755-088E44F3B161}"/>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3'!$R$2</c:f>
          <c:strCache>
            <c:ptCount val="1"/>
            <c:pt idx="0">
              <c:v>General Fund Reserves - Scenario 3</c:v>
            </c:pt>
          </c:strCache>
        </c:strRef>
      </c:tx>
      <c:layout>
        <c:manualLayout>
          <c:xMode val="edge"/>
          <c:yMode val="edge"/>
          <c:x val="0.22361401350835119"/>
          <c:y val="3.1283962674873357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3'!$R$54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3'!$S$54:$Z$54</c:f>
              <c:numCache>
                <c:formatCode>"$"#,##0_);[Red]\("$"#,##0\)</c:formatCode>
                <c:ptCount val="8"/>
                <c:pt idx="0">
                  <c:v>3554365.7086000014</c:v>
                </c:pt>
                <c:pt idx="1">
                  <c:v>3110205.0164880008</c:v>
                </c:pt>
                <c:pt idx="2">
                  <c:v>3079433.3520920514</c:v>
                </c:pt>
                <c:pt idx="3">
                  <c:v>2978809.1049449071</c:v>
                </c:pt>
                <c:pt idx="4">
                  <c:v>3112909.759518146</c:v>
                </c:pt>
                <c:pt idx="5">
                  <c:v>2922190.9399297661</c:v>
                </c:pt>
                <c:pt idx="6">
                  <c:v>3383375.2538655382</c:v>
                </c:pt>
                <c:pt idx="7">
                  <c:v>3519272.3156740749</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F2B7-426A-810C-788E59BF30E6}"/>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3'!$R$55</c:f>
              <c:strCache>
                <c:ptCount val="1"/>
                <c:pt idx="0">
                  <c:v>Reserve Goal</c:v>
                </c:pt>
              </c:strCache>
            </c:strRef>
          </c:tx>
          <c:spPr>
            <a:ln w="25400">
              <a:solidFill>
                <a:srgbClr val="C00000"/>
              </a:solidFill>
            </a:ln>
          </c:spPr>
          <c:marker>
            <c:symbol val="none"/>
          </c:marker>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F2B7-426A-810C-788E59BF30E6}"/>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3'!$R$1</c:f>
          <c:strCache>
            <c:ptCount val="1"/>
            <c:pt idx="0">
              <c:v>Fiscal Gap - Scenario 3</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3'!$R$56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3'!$S$56:$Z$56</c:f>
              <c:numCache>
                <c:formatCode>"$"#,##0_);[Red]\("$"#,##0\)</c:formatCode>
                <c:ptCount val="8"/>
                <c:pt idx="0">
                  <c:v>54365.70860000141</c:v>
                </c:pt>
                <c:pt idx="1">
                  <c:v>-444160.69211200066</c:v>
                </c:pt>
                <c:pt idx="2">
                  <c:v>-30771.664395949454</c:v>
                </c:pt>
                <c:pt idx="3">
                  <c:v>-100624.24714714405</c:v>
                </c:pt>
                <c:pt idx="4">
                  <c:v>134100.65457323892</c:v>
                </c:pt>
                <c:pt idx="5">
                  <c:v>-190718.81958837993</c:v>
                </c:pt>
                <c:pt idx="6">
                  <c:v>461184.31393577205</c:v>
                </c:pt>
                <c:pt idx="7">
                  <c:v>135897.06180853653</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196F-4003-8EE4-635A2C654908}"/>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3'!$R$53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196F-4003-8EE4-635A2C654908}"/>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3'!$S$53:$Z$53</c:f>
              <c:numCache>
                <c:formatCode>_("$"* #,##0_);_("$"* \(#,##0\);_("$"* "-"??_);_(@_)</c:formatCode>
                <c:ptCount val="8"/>
                <c:pt idx="0">
                  <c:v>0</c:v>
                </c:pt>
                <c:pt idx="1">
                  <c:v>155000</c:v>
                </c:pt>
                <c:pt idx="2">
                  <c:v>342983.33333333337</c:v>
                </c:pt>
                <c:pt idx="3">
                  <c:v>602606.16666666674</c:v>
                </c:pt>
                <c:pt idx="4">
                  <c:v>862417.68500000006</c:v>
                </c:pt>
                <c:pt idx="5">
                  <c:v>883490.21554999985</c:v>
                </c:pt>
                <c:pt idx="6">
                  <c:v>1905146.9220165</c:v>
                </c:pt>
                <c:pt idx="7">
                  <c:v>1947405.4496769949</c:v>
                </c:pt>
              </c:numCache>
            </c:numRef>
          </c:val>
          <c:smooth val="0"/>
          <c:extLst>
            <c:ext xmlns:c16="http://schemas.microsoft.com/office/drawing/2014/chart" uri="{C3380CC4-5D6E-409C-BE32-E72D297353CC}">
              <c16:uniqueId val="{00000002-196F-4003-8EE4-635A2C654908}"/>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3'!$R$2</c:f>
          <c:strCache>
            <c:ptCount val="1"/>
            <c:pt idx="0">
              <c:v>General Fund Reserves - Scenario 3</c:v>
            </c:pt>
          </c:strCache>
        </c:strRef>
      </c:tx>
      <c:layout>
        <c:manualLayout>
          <c:xMode val="edge"/>
          <c:yMode val="edge"/>
          <c:x val="0.28141667309636842"/>
          <c:y val="3.7606464445722763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3'!$R$54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3'!$S$54:$Z$54</c:f>
              <c:numCache>
                <c:formatCode>"$"#,##0_);[Red]\("$"#,##0\)</c:formatCode>
                <c:ptCount val="8"/>
                <c:pt idx="0">
                  <c:v>3554365.7086000014</c:v>
                </c:pt>
                <c:pt idx="1">
                  <c:v>3110205.0164880008</c:v>
                </c:pt>
                <c:pt idx="2">
                  <c:v>3079433.3520920514</c:v>
                </c:pt>
                <c:pt idx="3">
                  <c:v>2978809.1049449071</c:v>
                </c:pt>
                <c:pt idx="4">
                  <c:v>3112909.759518146</c:v>
                </c:pt>
                <c:pt idx="5">
                  <c:v>2922190.9399297661</c:v>
                </c:pt>
                <c:pt idx="6">
                  <c:v>3383375.2538655382</c:v>
                </c:pt>
                <c:pt idx="7">
                  <c:v>3519272.3156740749</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90D9-4E9F-8DEC-D5F05C6E582E}"/>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3'!$R$55</c:f>
              <c:strCache>
                <c:ptCount val="1"/>
                <c:pt idx="0">
                  <c:v>Reserve Goal</c:v>
                </c:pt>
              </c:strCache>
            </c:strRef>
          </c:tx>
          <c:spPr>
            <a:ln w="25400">
              <a:solidFill>
                <a:srgbClr val="C00000"/>
              </a:solidFill>
            </a:ln>
          </c:spPr>
          <c:marker>
            <c:symbol val="none"/>
          </c:marker>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90D9-4E9F-8DEC-D5F05C6E582E}"/>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4'!$R$1</c:f>
          <c:strCache>
            <c:ptCount val="1"/>
            <c:pt idx="0">
              <c:v>Fiscal Gap - Scenario 4</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4'!$R$56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4'!$S$56:$Z$56</c:f>
              <c:numCache>
                <c:formatCode>"$"#,##0_);[Red]\("$"#,##0\)</c:formatCode>
                <c:ptCount val="8"/>
                <c:pt idx="0">
                  <c:v>54365.70860000141</c:v>
                </c:pt>
                <c:pt idx="1">
                  <c:v>-404160.69211200066</c:v>
                </c:pt>
                <c:pt idx="2">
                  <c:v>-22904.997729282826</c:v>
                </c:pt>
                <c:pt idx="3">
                  <c:v>11478.419519522577</c:v>
                </c:pt>
                <c:pt idx="4">
                  <c:v>253566.40123990551</c:v>
                </c:pt>
                <c:pt idx="5">
                  <c:v>63664.232811620226</c:v>
                </c:pt>
                <c:pt idx="6">
                  <c:v>323288.85790777206</c:v>
                </c:pt>
                <c:pt idx="7">
                  <c:v>3956.0920996963978</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E4C7-4D49-BAFF-A36B63EE992D}"/>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4'!$R$53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E4C7-4D49-BAFF-A36B63EE992D}"/>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4'!$S$53:$Z$53</c:f>
              <c:numCache>
                <c:formatCode>_("$"* #,##0_);_("$"* \(#,##0\);_("$"* "-"??_);_(@_)</c:formatCode>
                <c:ptCount val="8"/>
                <c:pt idx="0">
                  <c:v>0</c:v>
                </c:pt>
                <c:pt idx="1">
                  <c:v>195000</c:v>
                </c:pt>
                <c:pt idx="2">
                  <c:v>350850</c:v>
                </c:pt>
                <c:pt idx="3">
                  <c:v>714708.83333333337</c:v>
                </c:pt>
                <c:pt idx="4">
                  <c:v>981883.43166666664</c:v>
                </c:pt>
                <c:pt idx="5">
                  <c:v>1137873.26795</c:v>
                </c:pt>
                <c:pt idx="6">
                  <c:v>1767251.4659885</c:v>
                </c:pt>
                <c:pt idx="7">
                  <c:v>1815464.4799681548</c:v>
                </c:pt>
              </c:numCache>
            </c:numRef>
          </c:val>
          <c:smooth val="0"/>
          <c:extLst>
            <c:ext xmlns:c16="http://schemas.microsoft.com/office/drawing/2014/chart" uri="{C3380CC4-5D6E-409C-BE32-E72D297353CC}">
              <c16:uniqueId val="{00000002-E4C7-4D49-BAFF-A36B63EE992D}"/>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4'!$R$2</c:f>
          <c:strCache>
            <c:ptCount val="1"/>
            <c:pt idx="0">
              <c:v>General Fund Reserves - Scenario 4</c:v>
            </c:pt>
          </c:strCache>
        </c:strRef>
      </c:tx>
      <c:layout>
        <c:manualLayout>
          <c:xMode val="edge"/>
          <c:yMode val="edge"/>
          <c:x val="0.20738047256586362"/>
          <c:y val="3.4427308397608977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4'!$R$54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4'!$S$54:$Z$54</c:f>
              <c:numCache>
                <c:formatCode>"$"#,##0_);[Red]\("$"#,##0\)</c:formatCode>
                <c:ptCount val="8"/>
                <c:pt idx="0">
                  <c:v>3554365.7086000014</c:v>
                </c:pt>
                <c:pt idx="1">
                  <c:v>3150205.0164880008</c:v>
                </c:pt>
                <c:pt idx="2">
                  <c:v>3127300.0187587179</c:v>
                </c:pt>
                <c:pt idx="3">
                  <c:v>3138778.4382782406</c:v>
                </c:pt>
                <c:pt idx="4">
                  <c:v>3392344.8395181461</c:v>
                </c:pt>
                <c:pt idx="5">
                  <c:v>3456009.0723297661</c:v>
                </c:pt>
                <c:pt idx="6">
                  <c:v>3779297.9302375382</c:v>
                </c:pt>
                <c:pt idx="7">
                  <c:v>3783254.0223372346</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3997-4F2F-AD5D-B094428E6F2F}"/>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4'!$R$55</c:f>
              <c:strCache>
                <c:ptCount val="1"/>
                <c:pt idx="0">
                  <c:v>Reserve Goal</c:v>
                </c:pt>
              </c:strCache>
            </c:strRef>
          </c:tx>
          <c:spPr>
            <a:ln w="25400">
              <a:solidFill>
                <a:srgbClr val="C00000"/>
              </a:solidFill>
            </a:ln>
          </c:spPr>
          <c:marker>
            <c:symbol val="none"/>
          </c:marker>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3997-4F2F-AD5D-B094428E6F2F}"/>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4'!$R$1</c:f>
          <c:strCache>
            <c:ptCount val="1"/>
            <c:pt idx="0">
              <c:v>Fiscal Gap - Scenario 4</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4'!$R$56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4'!$S$56:$Z$56</c:f>
              <c:numCache>
                <c:formatCode>"$"#,##0_);[Red]\("$"#,##0\)</c:formatCode>
                <c:ptCount val="8"/>
                <c:pt idx="0">
                  <c:v>54365.70860000141</c:v>
                </c:pt>
                <c:pt idx="1">
                  <c:v>-404160.69211200066</c:v>
                </c:pt>
                <c:pt idx="2">
                  <c:v>-22904.997729282826</c:v>
                </c:pt>
                <c:pt idx="3">
                  <c:v>11478.419519522577</c:v>
                </c:pt>
                <c:pt idx="4">
                  <c:v>253566.40123990551</c:v>
                </c:pt>
                <c:pt idx="5">
                  <c:v>63664.232811620226</c:v>
                </c:pt>
                <c:pt idx="6">
                  <c:v>323288.85790777206</c:v>
                </c:pt>
                <c:pt idx="7">
                  <c:v>3956.0920996963978</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F01F-41F2-B624-FE498565B51D}"/>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4'!$R$53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F01F-41F2-B624-FE498565B51D}"/>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4'!$S$53:$Z$53</c:f>
              <c:numCache>
                <c:formatCode>_("$"* #,##0_);_("$"* \(#,##0\);_("$"* "-"??_);_(@_)</c:formatCode>
                <c:ptCount val="8"/>
                <c:pt idx="0">
                  <c:v>0</c:v>
                </c:pt>
                <c:pt idx="1">
                  <c:v>195000</c:v>
                </c:pt>
                <c:pt idx="2">
                  <c:v>350850</c:v>
                </c:pt>
                <c:pt idx="3">
                  <c:v>714708.83333333337</c:v>
                </c:pt>
                <c:pt idx="4">
                  <c:v>981883.43166666664</c:v>
                </c:pt>
                <c:pt idx="5">
                  <c:v>1137873.26795</c:v>
                </c:pt>
                <c:pt idx="6">
                  <c:v>1767251.4659885</c:v>
                </c:pt>
                <c:pt idx="7">
                  <c:v>1815464.4799681548</c:v>
                </c:pt>
              </c:numCache>
            </c:numRef>
          </c:val>
          <c:smooth val="0"/>
          <c:extLst>
            <c:ext xmlns:c16="http://schemas.microsoft.com/office/drawing/2014/chart" uri="{C3380CC4-5D6E-409C-BE32-E72D297353CC}">
              <c16:uniqueId val="{00000002-F01F-41F2-B624-FE498565B51D}"/>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4'!$R$2</c:f>
          <c:strCache>
            <c:ptCount val="1"/>
            <c:pt idx="0">
              <c:v>General Fund Reserves - Scenario 4</c:v>
            </c:pt>
          </c:strCache>
        </c:strRef>
      </c:tx>
      <c:layout>
        <c:manualLayout>
          <c:xMode val="edge"/>
          <c:yMode val="edge"/>
          <c:x val="0.2865739706724385"/>
          <c:y val="3.7606464445722763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4'!$R$54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4'!$S$54:$Z$54</c:f>
              <c:numCache>
                <c:formatCode>"$"#,##0_);[Red]\("$"#,##0\)</c:formatCode>
                <c:ptCount val="8"/>
                <c:pt idx="0">
                  <c:v>3554365.7086000014</c:v>
                </c:pt>
                <c:pt idx="1">
                  <c:v>3150205.0164880008</c:v>
                </c:pt>
                <c:pt idx="2">
                  <c:v>3127300.0187587179</c:v>
                </c:pt>
                <c:pt idx="3">
                  <c:v>3138778.4382782406</c:v>
                </c:pt>
                <c:pt idx="4">
                  <c:v>3392344.8395181461</c:v>
                </c:pt>
                <c:pt idx="5">
                  <c:v>3456009.0723297661</c:v>
                </c:pt>
                <c:pt idx="6">
                  <c:v>3779297.9302375382</c:v>
                </c:pt>
                <c:pt idx="7">
                  <c:v>3783254.0223372346</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035F-4FEF-A311-3369DB035B96}"/>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4'!$R$55</c:f>
              <c:strCache>
                <c:ptCount val="1"/>
                <c:pt idx="0">
                  <c:v>Reserve Goal</c:v>
                </c:pt>
              </c:strCache>
            </c:strRef>
          </c:tx>
          <c:spPr>
            <a:ln w="25400">
              <a:solidFill>
                <a:srgbClr val="C00000"/>
              </a:solidFill>
            </a:ln>
          </c:spPr>
          <c:marker>
            <c:symbol val="none"/>
          </c:marker>
          <c:cat>
            <c:strRef>
              <c:f>'FSP MP Scen 4'!$S$50:$Z$50</c:f>
              <c:strCache>
                <c:ptCount val="8"/>
                <c:pt idx="0">
                  <c:v>FY 20</c:v>
                </c:pt>
                <c:pt idx="1">
                  <c:v>FY 21</c:v>
                </c:pt>
                <c:pt idx="2">
                  <c:v>FY 22</c:v>
                </c:pt>
                <c:pt idx="3">
                  <c:v>FY 23</c:v>
                </c:pt>
                <c:pt idx="4">
                  <c:v>FY 24</c:v>
                </c:pt>
                <c:pt idx="5">
                  <c:v>FY 25</c:v>
                </c:pt>
                <c:pt idx="6">
                  <c:v>FY 26</c:v>
                </c:pt>
                <c:pt idx="7">
                  <c:v>FY 27</c:v>
                </c:pt>
              </c:strCache>
            </c:strRef>
          </c:cat>
          <c:val>
            <c:numRef>
              <c:f>'FSP MP Scen 4'!$S$55:$Z$55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035F-4FEF-A311-3369DB035B96}"/>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3311461067368"/>
          <c:y val="0.1685618189323487"/>
          <c:w val="0.83936829843943928"/>
          <c:h val="0.7264231919323173"/>
        </c:manualLayout>
      </c:layout>
      <c:barChart>
        <c:barDir val="col"/>
        <c:grouping val="clustered"/>
        <c:varyColors val="0"/>
        <c:ser>
          <c:idx val="2"/>
          <c:order val="0"/>
          <c:spPr>
            <a:solidFill>
              <a:srgbClr val="000000"/>
            </a:solidFill>
            <a:ln>
              <a:solidFill>
                <a:schemeClr val="tx1"/>
              </a:solidFill>
            </a:ln>
          </c:spPr>
          <c:invertIfNegative val="1"/>
          <c:dLbls>
            <c:numFmt formatCode="#,##0.0_);[Red]\(#,##0.0\)" sourceLinked="0"/>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'Recession Forecast'!$B$55:$K$55</c:f>
              <c:numCache>
                <c:formatCode>"$"#,##0_);[Red]\("$"#,##0\)</c:formatCode>
                <c:ptCount val="10"/>
                <c:pt idx="0">
                  <c:v>1229307.1799999997</c:v>
                </c:pt>
                <c:pt idx="1">
                  <c:v>-922807.29999999888</c:v>
                </c:pt>
                <c:pt idx="2">
                  <c:v>54365.70860000141</c:v>
                </c:pt>
                <c:pt idx="3">
                  <c:v>-599160.69211200066</c:v>
                </c:pt>
                <c:pt idx="4">
                  <c:v>-373754.99772928283</c:v>
                </c:pt>
                <c:pt idx="5">
                  <c:v>-703230.4138138108</c:v>
                </c:pt>
                <c:pt idx="6">
                  <c:v>-728317.03042676114</c:v>
                </c:pt>
                <c:pt idx="7">
                  <c:v>-1074209.0351383798</c:v>
                </c:pt>
                <c:pt idx="8">
                  <c:v>-1443962.608080728</c:v>
                </c:pt>
                <c:pt idx="9">
                  <c:v>-1811508.3878684584</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tx1"/>
                    </a:solidFill>
                  </a:ln>
                </c14:spPr>
              </c14:invertSolidFillFmt>
            </c:ext>
            <c:ext xmlns:c16="http://schemas.microsoft.com/office/drawing/2014/chart" uri="{C3380CC4-5D6E-409C-BE32-E72D297353CC}">
              <c16:uniqueId val="{00000000-E559-4768-9569-5ED921C653B0}"/>
            </c:ext>
          </c:extLst>
        </c:ser>
        <c:dLbls>
          <c:showLegendKey val="0"/>
          <c:showVal val="0"/>
          <c:showCatName val="0"/>
          <c:showSerName val="0"/>
          <c:showPercent val="0"/>
          <c:showBubbleSize val="0"/>
        </c:dLbls>
        <c:gapWidth val="75"/>
        <c:axId val="280595840"/>
        <c:axId val="280609920"/>
      </c:bar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plotVisOnly val="1"/>
    <c:dispBlanksAs val="gap"/>
    <c:showDLblsOverMax val="0"/>
  </c:chart>
  <c:spPr>
    <a:ln w="12700">
      <a:solidFill>
        <a:schemeClr val="tx1"/>
      </a:solid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03826293236519"/>
          <c:y val="0.19306796386028668"/>
          <c:w val="0.84766324578732843"/>
          <c:h val="0.70189437730412385"/>
        </c:manualLayout>
      </c:layout>
      <c:lineChart>
        <c:grouping val="standard"/>
        <c:varyColors val="0"/>
        <c:ser>
          <c:idx val="2"/>
          <c:order val="0"/>
          <c:tx>
            <c:v>Recession Forecast</c:v>
          </c:tx>
          <c:spPr>
            <a:ln w="25400">
              <a:solidFill>
                <a:srgbClr val="FF0000"/>
              </a:solidFill>
            </a:ln>
          </c:spPr>
          <c:marker>
            <c:symbol val="circle"/>
            <c:size val="6"/>
            <c:spPr>
              <a:noFill/>
              <a:ln w="9525">
                <a:solidFill>
                  <a:srgbClr val="FF0000"/>
                </a:solidFill>
              </a:ln>
            </c:spPr>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'Recession Forecast'!$B$58:$K$58</c:f>
              <c:numCache>
                <c:formatCode>"$"#,##0_);[Red]\("$"#,##0\)</c:formatCode>
                <c:ptCount val="10"/>
                <c:pt idx="0">
                  <c:v>4422808</c:v>
                </c:pt>
                <c:pt idx="1">
                  <c:v>3500000</c:v>
                </c:pt>
                <c:pt idx="2">
                  <c:v>3554365.7086000014</c:v>
                </c:pt>
                <c:pt idx="3">
                  <c:v>2955205.0164880008</c:v>
                </c:pt>
                <c:pt idx="4">
                  <c:v>2581450.0187587179</c:v>
                </c:pt>
                <c:pt idx="5">
                  <c:v>1878219.6049449071</c:v>
                </c:pt>
                <c:pt idx="6">
                  <c:v>1149902.574518146</c:v>
                </c:pt>
                <c:pt idx="7">
                  <c:v>75693.539379766211</c:v>
                </c:pt>
                <c:pt idx="8">
                  <c:v>-1368269.0687009618</c:v>
                </c:pt>
                <c:pt idx="9">
                  <c:v>-3179777.4565694202</c:v>
                </c:pt>
              </c:numCache>
            </c:numRef>
          </c:val>
          <c:smooth val="0"/>
          <c:extLst>
            <c:ext xmlns:c16="http://schemas.microsoft.com/office/drawing/2014/chart" uri="{C3380CC4-5D6E-409C-BE32-E72D297353CC}">
              <c16:uniqueId val="{00000000-938A-476D-9026-0F3075D790F5}"/>
            </c:ext>
          </c:extLst>
        </c:ser>
        <c:ser>
          <c:idx val="5"/>
          <c:order val="1"/>
          <c:tx>
            <c:v>No-Recession Forecast</c:v>
          </c:tx>
          <c:spPr>
            <a:ln w="22225"/>
          </c:spPr>
          <c:marker>
            <c:symbol val="circle"/>
            <c:size val="6"/>
            <c:spPr>
              <a:ln>
                <a:solidFill>
                  <a:schemeClr val="accent6">
                    <a:shade val="76000"/>
                  </a:schemeClr>
                </a:solidFill>
              </a:ln>
            </c:spPr>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'No Recession Forecast'!$B$56:$K$56</c:f>
              <c:numCache>
                <c:formatCode>"$"#,##0_);[Red]\("$"#,##0\)</c:formatCode>
                <c:ptCount val="10"/>
                <c:pt idx="0">
                  <c:v>4422808</c:v>
                </c:pt>
                <c:pt idx="1">
                  <c:v>3500000</c:v>
                </c:pt>
                <c:pt idx="2">
                  <c:v>4763446.1886</c:v>
                </c:pt>
                <c:pt idx="3">
                  <c:v>5286654.2972879987</c:v>
                </c:pt>
                <c:pt idx="4">
                  <c:v>5456979.0725707188</c:v>
                </c:pt>
                <c:pt idx="5">
                  <c:v>5064288.8435362894</c:v>
                </c:pt>
                <c:pt idx="6">
                  <c:v>4399693.1978813559</c:v>
                </c:pt>
                <c:pt idx="7">
                  <c:v>3390479.9752102401</c:v>
                </c:pt>
                <c:pt idx="8">
                  <c:v>2012813.0958461221</c:v>
                </c:pt>
                <c:pt idx="9">
                  <c:v>241560.96989458613</c:v>
                </c:pt>
              </c:numCache>
            </c:numRef>
          </c:val>
          <c:smooth val="0"/>
          <c:extLst>
            <c:ext xmlns:c16="http://schemas.microsoft.com/office/drawing/2014/chart" uri="{C3380CC4-5D6E-409C-BE32-E72D297353CC}">
              <c16:uniqueId val="{00000001-938A-476D-9026-0F3075D790F5}"/>
            </c:ext>
          </c:extLst>
        </c:ser>
        <c:ser>
          <c:idx val="0"/>
          <c:order val="2"/>
          <c:tx>
            <c:v>Reserve Goal</c:v>
          </c:tx>
          <c:spPr>
            <a:ln w="25400" cmpd="sng">
              <a:solidFill>
                <a:schemeClr val="accent1"/>
              </a:solidFill>
              <a:prstDash val="sysDash"/>
            </a:ln>
          </c:spPr>
          <c:marker>
            <c:symbol val="none"/>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Dashboard!$C$216:$L$216</c:f>
              <c:numCache>
                <c:formatCode>"$"#,##0_);[Red]\("$"#,##0\)</c:formatCode>
                <c:ptCount val="10"/>
                <c:pt idx="0">
                  <c:v>2448316.5640000002</c:v>
                </c:pt>
                <c:pt idx="1">
                  <c:v>2806764.86</c:v>
                </c:pt>
                <c:pt idx="2">
                  <c:v>2477258.1622800003</c:v>
                </c:pt>
                <c:pt idx="3">
                  <c:v>2621007.5070168003</c:v>
                </c:pt>
                <c:pt idx="4">
                  <c:v>2736808.0350526082</c:v>
                </c:pt>
                <c:pt idx="5">
                  <c:v>2894259.2205367684</c:v>
                </c:pt>
                <c:pt idx="6">
                  <c:v>2992296.9818255594</c:v>
                </c:pt>
                <c:pt idx="7">
                  <c:v>3104875.4845911767</c:v>
                </c:pt>
                <c:pt idx="8">
                  <c:v>3221954.7412138521</c:v>
                </c:pt>
                <c:pt idx="9">
                  <c:v>3343725.305109228</c:v>
                </c:pt>
              </c:numCache>
            </c:numRef>
          </c:val>
          <c:smooth val="0"/>
          <c:extLst>
            <c:ext xmlns:c16="http://schemas.microsoft.com/office/drawing/2014/chart" uri="{C3380CC4-5D6E-409C-BE32-E72D297353CC}">
              <c16:uniqueId val="{00000002-938A-476D-9026-0F3075D790F5}"/>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_);[Red]\(&quot;$&quot;#,##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3.1714899273954392E-2"/>
          <c:y val="0.10278216105750576"/>
          <c:w val="0.95386486752551114"/>
          <c:h val="6.1135392200045456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742220509374"/>
          <c:y val="0.22332715665304712"/>
          <c:w val="0.86352220774374477"/>
          <c:h val="0.67163501401666204"/>
        </c:manualLayout>
      </c:layout>
      <c:areaChart>
        <c:grouping val="stacked"/>
        <c:varyColors val="0"/>
        <c:ser>
          <c:idx val="1"/>
          <c:order val="3"/>
          <c:spPr>
            <a:noFill/>
            <a:ln>
              <a:noFill/>
            </a:ln>
          </c:spP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Dashboard!$C$219:$L$219</c:f>
              <c:numCache>
                <c:formatCode>"$"#,##0_);[Red]\("$"#,##0\)</c:formatCode>
                <c:ptCount val="10"/>
                <c:pt idx="0">
                  <c:v>13470890</c:v>
                </c:pt>
                <c:pt idx="1">
                  <c:v>13111017</c:v>
                </c:pt>
                <c:pt idx="2">
                  <c:v>12440656.520000001</c:v>
                </c:pt>
                <c:pt idx="3">
                  <c:v>12505876.842971999</c:v>
                </c:pt>
                <c:pt idx="4">
                  <c:v>13310285.177533757</c:v>
                </c:pt>
                <c:pt idx="5">
                  <c:v>13768065.688870031</c:v>
                </c:pt>
                <c:pt idx="6">
                  <c:v>14233167.878701035</c:v>
                </c:pt>
                <c:pt idx="7">
                  <c:v>14450168.387817502</c:v>
                </c:pt>
                <c:pt idx="8">
                  <c:v>14665811.097988531</c:v>
                </c:pt>
                <c:pt idx="9">
                  <c:v>14907118.137677681</c:v>
                </c:pt>
              </c:numCache>
            </c:numRef>
          </c:val>
          <c:extLst>
            <c:ext xmlns:c16="http://schemas.microsoft.com/office/drawing/2014/chart" uri="{C3380CC4-5D6E-409C-BE32-E72D297353CC}">
              <c16:uniqueId val="{00000000-568E-4F15-B808-ECA6E962D0E1}"/>
            </c:ext>
          </c:extLst>
        </c:ser>
        <c:ser>
          <c:idx val="3"/>
          <c:order val="4"/>
          <c:spPr>
            <a:solidFill>
              <a:srgbClr val="FFFF00">
                <a:alpha val="71000"/>
              </a:srgbClr>
            </a:solidFill>
          </c:spP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Dashboard!$C$221:$L$221</c:f>
              <c:numCache>
                <c:formatCode>"$"#,##0_);[Red]\("$"#,##0\)</c:formatCode>
                <c:ptCount val="10"/>
                <c:pt idx="0">
                  <c:v>0</c:v>
                </c:pt>
                <c:pt idx="1">
                  <c:v>0</c:v>
                </c:pt>
                <c:pt idx="2">
                  <c:v>1209080.4799999986</c:v>
                </c:pt>
                <c:pt idx="3">
                  <c:v>1122368.8007999994</c:v>
                </c:pt>
                <c:pt idx="4">
                  <c:v>544079.77301200293</c:v>
                </c:pt>
                <c:pt idx="5">
                  <c:v>310540.18477938138</c:v>
                </c:pt>
                <c:pt idx="6">
                  <c:v>63721.384771827608</c:v>
                </c:pt>
                <c:pt idx="7">
                  <c:v>64995.812467264012</c:v>
                </c:pt>
                <c:pt idx="8">
                  <c:v>66295.72871661</c:v>
                </c:pt>
                <c:pt idx="9">
                  <c:v>40256.261916922405</c:v>
                </c:pt>
              </c:numCache>
            </c:numRef>
          </c:val>
          <c:extLst>
            <c:ext xmlns:c16="http://schemas.microsoft.com/office/drawing/2014/chart" uri="{C3380CC4-5D6E-409C-BE32-E72D297353CC}">
              <c16:uniqueId val="{00000001-568E-4F15-B808-ECA6E962D0E1}"/>
            </c:ext>
          </c:extLst>
        </c:ser>
        <c:dLbls>
          <c:showLegendKey val="0"/>
          <c:showVal val="0"/>
          <c:showCatName val="0"/>
          <c:showSerName val="0"/>
          <c:showPercent val="0"/>
          <c:showBubbleSize val="0"/>
        </c:dLbls>
        <c:axId val="280595840"/>
        <c:axId val="280609920"/>
      </c:areaChart>
      <c:lineChart>
        <c:grouping val="standard"/>
        <c:varyColors val="0"/>
        <c:ser>
          <c:idx val="2"/>
          <c:order val="0"/>
          <c:tx>
            <c:v>Expenditures</c:v>
          </c:tx>
          <c:spPr>
            <a:ln w="25400">
              <a:solidFill>
                <a:srgbClr val="C00000"/>
              </a:solidFill>
              <a:prstDash val="dash"/>
            </a:ln>
          </c:spPr>
          <c:marker>
            <c:symbol val="none"/>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'Recession Forecast'!$B$52:$K$52</c:f>
              <c:numCache>
                <c:formatCode>"$"#,##0_);[Red]\("$"#,##0\)</c:formatCode>
                <c:ptCount val="10"/>
                <c:pt idx="0">
                  <c:v>12241582.82</c:v>
                </c:pt>
                <c:pt idx="1">
                  <c:v>14033824.299999999</c:v>
                </c:pt>
                <c:pt idx="2">
                  <c:v>12386290.8114</c:v>
                </c:pt>
                <c:pt idx="3">
                  <c:v>13105037.535084</c:v>
                </c:pt>
                <c:pt idx="4">
                  <c:v>13684040.17526304</c:v>
                </c:pt>
                <c:pt idx="5">
                  <c:v>14471296.102683842</c:v>
                </c:pt>
                <c:pt idx="6">
                  <c:v>14961484.909127796</c:v>
                </c:pt>
                <c:pt idx="7">
                  <c:v>15524377.422955882</c:v>
                </c:pt>
                <c:pt idx="8">
                  <c:v>16109773.706069259</c:v>
                </c:pt>
                <c:pt idx="9">
                  <c:v>16718626.525546139</c:v>
                </c:pt>
              </c:numCache>
            </c:numRef>
          </c:val>
          <c:smooth val="0"/>
          <c:extLst>
            <c:ext xmlns:c16="http://schemas.microsoft.com/office/drawing/2014/chart" uri="{C3380CC4-5D6E-409C-BE32-E72D297353CC}">
              <c16:uniqueId val="{00000000-44BA-4967-9CCA-79573BD7AF0B}"/>
            </c:ext>
          </c:extLst>
        </c:ser>
        <c:ser>
          <c:idx val="5"/>
          <c:order val="1"/>
          <c:tx>
            <c:v>Revenue w/o Recession</c:v>
          </c:tx>
          <c:marker>
            <c:symbol val="circle"/>
            <c:size val="6"/>
            <c:spPr>
              <a:ln>
                <a:solidFill>
                  <a:schemeClr val="accent6">
                    <a:shade val="76000"/>
                  </a:schemeClr>
                </a:solidFill>
              </a:ln>
            </c:spPr>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'No Recession Forecast'!$B$23:$K$23</c:f>
              <c:numCache>
                <c:formatCode>"$"#,##0_);[Red]\("$"#,##0\)</c:formatCode>
                <c:ptCount val="10"/>
                <c:pt idx="0">
                  <c:v>13470890</c:v>
                </c:pt>
                <c:pt idx="1">
                  <c:v>13111017</c:v>
                </c:pt>
                <c:pt idx="2">
                  <c:v>13649737</c:v>
                </c:pt>
                <c:pt idx="3">
                  <c:v>13628245.643771999</c:v>
                </c:pt>
                <c:pt idx="4">
                  <c:v>13854364.95054576</c:v>
                </c:pt>
                <c:pt idx="5">
                  <c:v>14078605.873649413</c:v>
                </c:pt>
                <c:pt idx="6">
                  <c:v>14296889.263472863</c:v>
                </c:pt>
                <c:pt idx="7">
                  <c:v>14515164.200284766</c:v>
                </c:pt>
                <c:pt idx="8">
                  <c:v>14732106.826705141</c:v>
                </c:pt>
                <c:pt idx="9">
                  <c:v>14947374.399594603</c:v>
                </c:pt>
              </c:numCache>
            </c:numRef>
          </c:val>
          <c:smooth val="0"/>
          <c:extLst>
            <c:ext xmlns:c16="http://schemas.microsoft.com/office/drawing/2014/chart" uri="{C3380CC4-5D6E-409C-BE32-E72D297353CC}">
              <c16:uniqueId val="{00000001-44BA-4967-9CCA-79573BD7AF0B}"/>
            </c:ext>
          </c:extLst>
        </c:ser>
        <c:ser>
          <c:idx val="0"/>
          <c:order val="2"/>
          <c:tx>
            <c:v>Revenue w/ Recession</c:v>
          </c:tx>
          <c:spPr>
            <a:ln>
              <a:solidFill>
                <a:srgbClr val="009900"/>
              </a:solidFill>
            </a:ln>
          </c:spPr>
          <c:marker>
            <c:symbol val="circle"/>
            <c:size val="6"/>
            <c:spPr>
              <a:noFill/>
              <a:ln w="9525">
                <a:solidFill>
                  <a:srgbClr val="009900"/>
                </a:solidFill>
              </a:ln>
            </c:spPr>
          </c:marker>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'Recession Forecast'!$B$25:$K$25</c:f>
              <c:numCache>
                <c:formatCode>"$"#,##0_);[Red]\("$"#,##0\)</c:formatCode>
                <c:ptCount val="10"/>
                <c:pt idx="0">
                  <c:v>13470890</c:v>
                </c:pt>
                <c:pt idx="1">
                  <c:v>13111017</c:v>
                </c:pt>
                <c:pt idx="2">
                  <c:v>12440656.520000001</c:v>
                </c:pt>
                <c:pt idx="3">
                  <c:v>12505876.842971999</c:v>
                </c:pt>
                <c:pt idx="4">
                  <c:v>13310285.177533757</c:v>
                </c:pt>
                <c:pt idx="5">
                  <c:v>13768065.688870031</c:v>
                </c:pt>
                <c:pt idx="6">
                  <c:v>14233167.878701035</c:v>
                </c:pt>
                <c:pt idx="7">
                  <c:v>14450168.387817502</c:v>
                </c:pt>
                <c:pt idx="8">
                  <c:v>14665811.097988531</c:v>
                </c:pt>
                <c:pt idx="9">
                  <c:v>14907118.137677681</c:v>
                </c:pt>
              </c:numCache>
            </c:numRef>
          </c:val>
          <c:smooth val="0"/>
          <c:extLst>
            <c:ext xmlns:c16="http://schemas.microsoft.com/office/drawing/2014/chart" uri="{C3380CC4-5D6E-409C-BE32-E72D297353CC}">
              <c16:uniqueId val="{00000002-44BA-4967-9CCA-79573BD7AF0B}"/>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max val="20000000"/>
          <c:min val="10000000"/>
        </c:scaling>
        <c:delete val="0"/>
        <c:axPos val="l"/>
        <c:majorGridlines>
          <c:spPr>
            <a:ln>
              <a:solidFill>
                <a:schemeClr val="bg1">
                  <a:lumMod val="65000"/>
                </a:schemeClr>
              </a:solidFill>
            </a:ln>
          </c:spPr>
        </c:majorGridlines>
        <c:numFmt formatCode="&quot;$&quot;#,##0_);[Red]\(&quot;$&quot;#,##0\)" sourceLinked="0"/>
        <c:majorTickMark val="out"/>
        <c:minorTickMark val="none"/>
        <c:tickLblPos val="nextTo"/>
        <c:txPr>
          <a:bodyPr/>
          <a:lstStyle/>
          <a:p>
            <a:pPr>
              <a:defRPr sz="1100" b="1"/>
            </a:pPr>
            <a:endParaRPr lang="en-US"/>
          </a:p>
        </c:txPr>
        <c:crossAx val="280595840"/>
        <c:crosses val="autoZero"/>
        <c:crossBetween val="between"/>
        <c:majorUnit val="5000000"/>
        <c:dispUnits>
          <c:builtInUnit val="millions"/>
        </c:dispUnits>
      </c:valAx>
    </c:plotArea>
    <c:legend>
      <c:legendPos val="t"/>
      <c:legendEntry>
        <c:idx val="0"/>
        <c:delete val="1"/>
      </c:legendEntry>
      <c:legendEntry>
        <c:idx val="1"/>
        <c:delete val="1"/>
      </c:legendEntry>
      <c:layout>
        <c:manualLayout>
          <c:xMode val="edge"/>
          <c:yMode val="edge"/>
          <c:x val="0"/>
          <c:y val="8.9814011557958789E-2"/>
          <c:w val="1"/>
          <c:h val="8.4260593563454098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1'!$R$2</c:f>
          <c:strCache>
            <c:ptCount val="1"/>
            <c:pt idx="0">
              <c:v>General Fund Reserves - Scenario 1</c:v>
            </c:pt>
          </c:strCache>
        </c:strRef>
      </c:tx>
      <c:layout>
        <c:manualLayout>
          <c:xMode val="edge"/>
          <c:yMode val="edge"/>
          <c:x val="0.24448570900583527"/>
          <c:y val="3.4427308397608977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1'!$R$54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1'!$S$54:$Z$54</c:f>
              <c:numCache>
                <c:formatCode>"$"#,##0_);[Red]\("$"#,##0\)</c:formatCode>
                <c:ptCount val="8"/>
                <c:pt idx="0">
                  <c:v>3554365.7086000014</c:v>
                </c:pt>
                <c:pt idx="1">
                  <c:v>3010205.0164880008</c:v>
                </c:pt>
                <c:pt idx="2">
                  <c:v>2826433.3520920514</c:v>
                </c:pt>
                <c:pt idx="3">
                  <c:v>2448219.1049449071</c:v>
                </c:pt>
                <c:pt idx="4">
                  <c:v>3180002.0595181463</c:v>
                </c:pt>
                <c:pt idx="5">
                  <c:v>3593696.0089297667</c:v>
                </c:pt>
                <c:pt idx="6">
                  <c:v>3665983.4749355391</c:v>
                </c:pt>
                <c:pt idx="7">
                  <c:v>3982627.3133761757</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3-3025-43F7-862D-0B7CFB716334}"/>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1'!$R$55</c:f>
              <c:strCache>
                <c:ptCount val="1"/>
                <c:pt idx="0">
                  <c:v>Reserve Goal</c:v>
                </c:pt>
              </c:strCache>
            </c:strRef>
          </c:tx>
          <c:spPr>
            <a:ln w="25400">
              <a:solidFill>
                <a:srgbClr val="C00000"/>
              </a:solidFill>
            </a:ln>
          </c:spPr>
          <c:marker>
            <c:symbol val="none"/>
          </c:marker>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2-3025-43F7-862D-0B7CFB716334}"/>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3311461067368"/>
          <c:y val="0.1685618189323487"/>
          <c:w val="0.83936829843943928"/>
          <c:h val="0.7264231919323173"/>
        </c:manualLayout>
      </c:layout>
      <c:barChart>
        <c:barDir val="col"/>
        <c:grouping val="clustered"/>
        <c:varyColors val="0"/>
        <c:ser>
          <c:idx val="2"/>
          <c:order val="0"/>
          <c:spPr>
            <a:solidFill>
              <a:srgbClr val="FF9933"/>
            </a:solidFill>
            <a:ln w="9525">
              <a:solidFill>
                <a:schemeClr val="tx1"/>
              </a:solidFill>
            </a:ln>
          </c:spPr>
          <c:invertIfNegative val="0"/>
          <c:cat>
            <c:strRef>
              <c:f>Dashboard!$C$214:$L$214</c:f>
              <c:strCache>
                <c:ptCount val="10"/>
                <c:pt idx="0">
                  <c:v>FY 18</c:v>
                </c:pt>
                <c:pt idx="1">
                  <c:v>FY 19</c:v>
                </c:pt>
                <c:pt idx="2">
                  <c:v>FY 20</c:v>
                </c:pt>
                <c:pt idx="3">
                  <c:v>FY 21</c:v>
                </c:pt>
                <c:pt idx="4">
                  <c:v>FY 22</c:v>
                </c:pt>
                <c:pt idx="5">
                  <c:v>FY 23</c:v>
                </c:pt>
                <c:pt idx="6">
                  <c:v>FY 24</c:v>
                </c:pt>
                <c:pt idx="7">
                  <c:v>FY 25</c:v>
                </c:pt>
                <c:pt idx="8">
                  <c:v>FY 26</c:v>
                </c:pt>
                <c:pt idx="9">
                  <c:v>FY 27</c:v>
                </c:pt>
              </c:strCache>
            </c:strRef>
          </c:cat>
          <c:val>
            <c:numRef>
              <c:f>'Recession Forecast'!$M$26:$U$26</c:f>
              <c:numCache>
                <c:formatCode>0.00%;[Red]\-#0.00%</c:formatCode>
                <c:ptCount val="9"/>
                <c:pt idx="0">
                  <c:v>0</c:v>
                </c:pt>
                <c:pt idx="1">
                  <c:v>-8.8579031229685912E-2</c:v>
                </c:pt>
                <c:pt idx="2">
                  <c:v>-8.235607356497221E-2</c:v>
                </c:pt>
                <c:pt idx="3">
                  <c:v>-3.9271361405170069E-2</c:v>
                </c:pt>
                <c:pt idx="4">
                  <c:v>-2.2057594875967923E-2</c:v>
                </c:pt>
                <c:pt idx="5">
                  <c:v>-4.4570104445468273E-3</c:v>
                </c:pt>
                <c:pt idx="6">
                  <c:v>-4.4777869247933921E-3</c:v>
                </c:pt>
                <c:pt idx="7">
                  <c:v>-4.5000847126925869E-3</c:v>
                </c:pt>
                <c:pt idx="8">
                  <c:v>-2.6931995439958278E-3</c:v>
                </c:pt>
              </c:numCache>
            </c:numRef>
          </c:val>
          <c:extLst>
            <c:ext xmlns:c16="http://schemas.microsoft.com/office/drawing/2014/chart" uri="{C3380CC4-5D6E-409C-BE32-E72D297353CC}">
              <c16:uniqueId val="{00000000-06BF-4B62-9020-B5BA8296782B}"/>
            </c:ext>
          </c:extLst>
        </c:ser>
        <c:dLbls>
          <c:showLegendKey val="0"/>
          <c:showVal val="0"/>
          <c:showCatName val="0"/>
          <c:showSerName val="0"/>
          <c:showPercent val="0"/>
          <c:showBubbleSize val="0"/>
        </c:dLbls>
        <c:gapWidth val="75"/>
        <c:axId val="280595840"/>
        <c:axId val="280609920"/>
      </c:bar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0.0%" sourceLinked="0"/>
        <c:majorTickMark val="out"/>
        <c:minorTickMark val="none"/>
        <c:tickLblPos val="nextTo"/>
        <c:txPr>
          <a:bodyPr/>
          <a:lstStyle/>
          <a:p>
            <a:pPr>
              <a:defRPr sz="1100" b="1"/>
            </a:pPr>
            <a:endParaRPr lang="en-US"/>
          </a:p>
        </c:txPr>
        <c:crossAx val="280595840"/>
        <c:crosses val="autoZero"/>
        <c:crossBetween val="between"/>
      </c:valAx>
    </c:plotArea>
    <c:plotVisOnly val="1"/>
    <c:dispBlanksAs val="gap"/>
    <c:showDLblsOverMax val="0"/>
  </c:chart>
  <c:spPr>
    <a:ln w="12700">
      <a:solidFill>
        <a:schemeClr val="tx1"/>
      </a:solid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n-US" sz="1400"/>
              <a:t>Projected Monthly General Fund Cash Flow Balance June-2019</a:t>
            </a:r>
            <a:r>
              <a:rPr lang="en-US" sz="1400" baseline="0"/>
              <a:t> to June-2022 </a:t>
            </a:r>
            <a:r>
              <a:rPr lang="en-US" sz="1400"/>
              <a:t>(mil.)</a:t>
            </a:r>
          </a:p>
        </c:rich>
      </c:tx>
      <c:layout>
        <c:manualLayout>
          <c:xMode val="edge"/>
          <c:yMode val="edge"/>
          <c:x val="0.16321122004374469"/>
          <c:y val="4.0948740147611835E-4"/>
        </c:manualLayout>
      </c:layout>
      <c:overlay val="0"/>
    </c:title>
    <c:autoTitleDeleted val="0"/>
    <c:plotArea>
      <c:layout>
        <c:manualLayout>
          <c:layoutTarget val="inner"/>
          <c:xMode val="edge"/>
          <c:yMode val="edge"/>
          <c:x val="6.5847331404859807E-2"/>
          <c:y val="0.16418229068173801"/>
          <c:w val="0.91805526834452245"/>
          <c:h val="0.73080301945727855"/>
        </c:manualLayout>
      </c:layout>
      <c:barChart>
        <c:barDir val="col"/>
        <c:grouping val="clustered"/>
        <c:varyColors val="0"/>
        <c:ser>
          <c:idx val="2"/>
          <c:order val="0"/>
          <c:spPr>
            <a:solidFill>
              <a:srgbClr val="000000"/>
            </a:solidFill>
            <a:ln w="6350">
              <a:solidFill>
                <a:schemeClr val="tx1"/>
              </a:solidFill>
            </a:ln>
          </c:spPr>
          <c:invertIfNegative val="1"/>
          <c:cat>
            <c:numRef>
              <c:f>'Cash Flow'!$C$25:$AM$25</c:f>
              <c:numCache>
                <c:formatCode>[$-409]mmm\-yy;@</c:formatCode>
                <c:ptCount val="37"/>
                <c:pt idx="0">
                  <c:v>43617</c:v>
                </c:pt>
                <c:pt idx="1">
                  <c:v>43647</c:v>
                </c:pt>
                <c:pt idx="2">
                  <c:v>43678</c:v>
                </c:pt>
                <c:pt idx="3">
                  <c:v>43709</c:v>
                </c:pt>
                <c:pt idx="4">
                  <c:v>43739</c:v>
                </c:pt>
                <c:pt idx="5">
                  <c:v>43770</c:v>
                </c:pt>
                <c:pt idx="6">
                  <c:v>43800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44379</c:v>
                </c:pt>
                <c:pt idx="26">
                  <c:v>44409</c:v>
                </c:pt>
                <c:pt idx="27">
                  <c:v>44440</c:v>
                </c:pt>
                <c:pt idx="28">
                  <c:v>44470</c:v>
                </c:pt>
                <c:pt idx="29">
                  <c:v>44501</c:v>
                </c:pt>
                <c:pt idx="30">
                  <c:v>44531</c:v>
                </c:pt>
                <c:pt idx="31">
                  <c:v>44562</c:v>
                </c:pt>
                <c:pt idx="32">
                  <c:v>44593</c:v>
                </c:pt>
                <c:pt idx="33">
                  <c:v>44621</c:v>
                </c:pt>
                <c:pt idx="34">
                  <c:v>44652</c:v>
                </c:pt>
                <c:pt idx="35">
                  <c:v>44682</c:v>
                </c:pt>
                <c:pt idx="36">
                  <c:v>44713</c:v>
                </c:pt>
              </c:numCache>
            </c:numRef>
          </c:cat>
          <c:val>
            <c:numRef>
              <c:f>'Cash Flow'!$C$32:$AM$32</c:f>
              <c:numCache>
                <c:formatCode>#,##0_);[Red]\(#,##0\)</c:formatCode>
                <c:ptCount val="37"/>
                <c:pt idx="0">
                  <c:v>3500000</c:v>
                </c:pt>
                <c:pt idx="1">
                  <c:v>3220020.9716666667</c:v>
                </c:pt>
                <c:pt idx="2">
                  <c:v>2940041.9433333334</c:v>
                </c:pt>
                <c:pt idx="3">
                  <c:v>2394862.915</c:v>
                </c:pt>
                <c:pt idx="4">
                  <c:v>1849683.8866666667</c:v>
                </c:pt>
                <c:pt idx="5">
                  <c:v>1304504.8583333334</c:v>
                </c:pt>
                <c:pt idx="6">
                  <c:v>3013525.83</c:v>
                </c:pt>
                <c:pt idx="7">
                  <c:v>2536746.8016666668</c:v>
                </c:pt>
                <c:pt idx="8">
                  <c:v>1991567.7733333334</c:v>
                </c:pt>
                <c:pt idx="9">
                  <c:v>1446388.7450000001</c:v>
                </c:pt>
                <c:pt idx="10">
                  <c:v>3155409.7166666668</c:v>
                </c:pt>
                <c:pt idx="11">
                  <c:v>2610230.6883333335</c:v>
                </c:pt>
                <c:pt idx="12">
                  <c:v>2330251.66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0000"/>
                  </a:solidFill>
                  <a:ln w="6350">
                    <a:solidFill>
                      <a:schemeClr val="tx1"/>
                    </a:solidFill>
                  </a:ln>
                </c14:spPr>
              </c14:invertSolidFillFmt>
            </c:ext>
            <c:ext xmlns:c16="http://schemas.microsoft.com/office/drawing/2014/chart" uri="{C3380CC4-5D6E-409C-BE32-E72D297353CC}">
              <c16:uniqueId val="{00000000-CCB2-40F7-BED7-F18235D427A9}"/>
            </c:ext>
          </c:extLst>
        </c:ser>
        <c:dLbls>
          <c:showLegendKey val="0"/>
          <c:showVal val="0"/>
          <c:showCatName val="0"/>
          <c:showSerName val="0"/>
          <c:showPercent val="0"/>
          <c:showBubbleSize val="0"/>
        </c:dLbls>
        <c:gapWidth val="75"/>
        <c:axId val="280595840"/>
        <c:axId val="280609920"/>
      </c:barChart>
      <c:dateAx>
        <c:axId val="280595840"/>
        <c:scaling>
          <c:orientation val="minMax"/>
        </c:scaling>
        <c:delete val="0"/>
        <c:axPos val="b"/>
        <c:majorGridlines/>
        <c:numFmt formatCode="[$-409]mmm\-yy;@" sourceLinked="0"/>
        <c:majorTickMark val="out"/>
        <c:minorTickMark val="none"/>
        <c:tickLblPos val="low"/>
        <c:spPr>
          <a:ln w="15875">
            <a:solidFill>
              <a:schemeClr val="tx1"/>
            </a:solidFill>
          </a:ln>
        </c:spPr>
        <c:txPr>
          <a:bodyPr rot="-5400000" vert="horz"/>
          <a:lstStyle/>
          <a:p>
            <a:pPr>
              <a:defRPr sz="1100" b="1">
                <a:latin typeface="+mn-lt"/>
              </a:defRPr>
            </a:pPr>
            <a:endParaRPr lang="en-US"/>
          </a:p>
        </c:txPr>
        <c:crossAx val="280609920"/>
        <c:crosses val="autoZero"/>
        <c:auto val="1"/>
        <c:lblOffset val="100"/>
        <c:baseTimeUnit val="months"/>
        <c:majorUnit val="1"/>
        <c:majorTimeUnit val="months"/>
      </c:dateAx>
      <c:valAx>
        <c:axId val="280609920"/>
        <c:scaling>
          <c:orientation val="minMax"/>
        </c:scaling>
        <c:delete val="0"/>
        <c:axPos val="l"/>
        <c:majorGridlines>
          <c:spPr>
            <a:ln>
              <a:solidFill>
                <a:schemeClr val="bg1">
                  <a:lumMod val="65000"/>
                </a:schemeClr>
              </a:solidFill>
            </a:ln>
          </c:spPr>
        </c:majorGridlines>
        <c:numFmt formatCode="&quot;$&quot;#,##0_);[Red]\(&quot;$&quot;#,##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plotVisOnly val="1"/>
    <c:dispBlanksAs val="gap"/>
    <c:showDLblsOverMax val="0"/>
  </c:chart>
  <c:spPr>
    <a:ln w="12700">
      <a:solidFill>
        <a:schemeClr val="tx1"/>
      </a:solid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Fiscal Gap - Recession Scenario</a:t>
            </a:r>
          </a:p>
        </c:rich>
      </c:tx>
      <c:overlay val="0"/>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1'!$R$56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1'!$S$56:$Z$56</c:f>
              <c:numCache>
                <c:formatCode>"$"#,##0_);[Red]\("$"#,##0\)</c:formatCode>
                <c:ptCount val="8"/>
                <c:pt idx="0">
                  <c:v>54365.70860000141</c:v>
                </c:pt>
                <c:pt idx="1">
                  <c:v>-544160.69211200066</c:v>
                </c:pt>
                <c:pt idx="2">
                  <c:v>-183771.66439594948</c:v>
                </c:pt>
                <c:pt idx="3">
                  <c:v>-378214.24714714411</c:v>
                </c:pt>
                <c:pt idx="4">
                  <c:v>731782.95457323897</c:v>
                </c:pt>
                <c:pt idx="5">
                  <c:v>413693.94941162015</c:v>
                </c:pt>
                <c:pt idx="6">
                  <c:v>72287.466005772119</c:v>
                </c:pt>
                <c:pt idx="7">
                  <c:v>316643.83844063664</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064C-4400-9D45-D12DB6212826}"/>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1'!$R$53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064C-4400-9D45-D12DB6212826}"/>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1'!$S$53:$Z$53</c:f>
              <c:numCache>
                <c:formatCode>_("$"* #,##0_);_("$"* \(#,##0\);_("$"* "-"??_);_(@_)</c:formatCode>
                <c:ptCount val="8"/>
                <c:pt idx="0">
                  <c:v>0</c:v>
                </c:pt>
                <c:pt idx="1">
                  <c:v>55000</c:v>
                </c:pt>
                <c:pt idx="2">
                  <c:v>189983.33333333334</c:v>
                </c:pt>
                <c:pt idx="3">
                  <c:v>325016.16666666669</c:v>
                </c:pt>
                <c:pt idx="4">
                  <c:v>1460099.9850000001</c:v>
                </c:pt>
                <c:pt idx="5">
                  <c:v>1487902.9845499999</c:v>
                </c:pt>
                <c:pt idx="6">
                  <c:v>1516250.0740865001</c:v>
                </c:pt>
                <c:pt idx="7">
                  <c:v>2128152.226309095</c:v>
                </c:pt>
              </c:numCache>
            </c:numRef>
          </c:val>
          <c:smooth val="0"/>
          <c:extLst>
            <c:ext xmlns:c16="http://schemas.microsoft.com/office/drawing/2014/chart" uri="{C3380CC4-5D6E-409C-BE32-E72D297353CC}">
              <c16:uniqueId val="{00000002-064C-4400-9D45-D12DB6212826}"/>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General</a:t>
            </a:r>
            <a:r>
              <a:rPr lang="en-US" sz="1600" baseline="0"/>
              <a:t> Fund Reserves - Recession Scenario</a:t>
            </a:r>
          </a:p>
        </c:rich>
      </c:tx>
      <c:layout>
        <c:manualLayout>
          <c:xMode val="edge"/>
          <c:yMode val="edge"/>
          <c:x val="0.2453155900638774"/>
          <c:y val="3.4445232401583002E-2"/>
        </c:manualLayout>
      </c:layout>
      <c:overlay val="0"/>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1'!$R$54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1'!$S$54:$Z$54</c:f>
              <c:numCache>
                <c:formatCode>"$"#,##0_);[Red]\("$"#,##0\)</c:formatCode>
                <c:ptCount val="8"/>
                <c:pt idx="0">
                  <c:v>3554365.7086000014</c:v>
                </c:pt>
                <c:pt idx="1">
                  <c:v>3010205.0164880008</c:v>
                </c:pt>
                <c:pt idx="2">
                  <c:v>2826433.3520920514</c:v>
                </c:pt>
                <c:pt idx="3">
                  <c:v>2448219.1049449071</c:v>
                </c:pt>
                <c:pt idx="4">
                  <c:v>3180002.0595181463</c:v>
                </c:pt>
                <c:pt idx="5">
                  <c:v>3593696.0089297667</c:v>
                </c:pt>
                <c:pt idx="6">
                  <c:v>3665983.4749355391</c:v>
                </c:pt>
                <c:pt idx="7">
                  <c:v>3982627.3133761757</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157E-49C6-9172-9E8B3AEA1643}"/>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1'!$R$55</c:f>
              <c:strCache>
                <c:ptCount val="1"/>
                <c:pt idx="0">
                  <c:v>Reserve Goal</c:v>
                </c:pt>
              </c:strCache>
            </c:strRef>
          </c:tx>
          <c:spPr>
            <a:ln w="25400">
              <a:solidFill>
                <a:srgbClr val="C00000"/>
              </a:solidFill>
            </a:ln>
          </c:spPr>
          <c:marker>
            <c:symbol val="none"/>
          </c:marker>
          <c:cat>
            <c:strRef>
              <c:f>'FSP MP Scen 1'!$S$50:$Z$50</c:f>
              <c:strCache>
                <c:ptCount val="8"/>
                <c:pt idx="0">
                  <c:v>FY 20</c:v>
                </c:pt>
                <c:pt idx="1">
                  <c:v>FY 21</c:v>
                </c:pt>
                <c:pt idx="2">
                  <c:v>FY 22</c:v>
                </c:pt>
                <c:pt idx="3">
                  <c:v>FY 23</c:v>
                </c:pt>
                <c:pt idx="4">
                  <c:v>FY 24</c:v>
                </c:pt>
                <c:pt idx="5">
                  <c:v>FY 25</c:v>
                </c:pt>
                <c:pt idx="6">
                  <c:v>FY 26</c:v>
                </c:pt>
                <c:pt idx="7">
                  <c:v>FY 27</c:v>
                </c:pt>
              </c:strCache>
            </c:strRef>
          </c:cat>
          <c:val>
            <c:numRef>
              <c:f>'FSP MP Scen 1'!$S$55:$Z$55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157E-49C6-9172-9E8B3AEA1643}"/>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2'!$R$1</c:f>
          <c:strCache>
            <c:ptCount val="1"/>
            <c:pt idx="0">
              <c:v>Fiscal Gap - Scenario 2</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2'!$R$56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2'!$S$56:$Z$56</c:f>
              <c:numCache>
                <c:formatCode>"$"#,##0_);[Red]\("$"#,##0\)</c:formatCode>
                <c:ptCount val="8"/>
                <c:pt idx="0">
                  <c:v>54365.70860000141</c:v>
                </c:pt>
                <c:pt idx="1">
                  <c:v>-544160.69211200066</c:v>
                </c:pt>
                <c:pt idx="2">
                  <c:v>666228.33560405055</c:v>
                </c:pt>
                <c:pt idx="3">
                  <c:v>1321785.7528528559</c:v>
                </c:pt>
                <c:pt idx="4">
                  <c:v>1431782.9545732387</c:v>
                </c:pt>
                <c:pt idx="5">
                  <c:v>1093693.9494116204</c:v>
                </c:pt>
                <c:pt idx="6">
                  <c:v>731887.46600577189</c:v>
                </c:pt>
                <c:pt idx="7">
                  <c:v>372435.83844063617</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246F-4044-847B-8817D10FF1B7}"/>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2'!$R$53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246F-4044-847B-8817D10FF1B7}"/>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2'!$S$53:$Z$53</c:f>
              <c:numCache>
                <c:formatCode>_("$"* #,##0_);_("$"* \(#,##0\);_("$"* "-"??_);_(@_)</c:formatCode>
                <c:ptCount val="8"/>
                <c:pt idx="0">
                  <c:v>0</c:v>
                </c:pt>
                <c:pt idx="1">
                  <c:v>55000</c:v>
                </c:pt>
                <c:pt idx="2">
                  <c:v>1039983.3333333334</c:v>
                </c:pt>
                <c:pt idx="3">
                  <c:v>2025016.1666666667</c:v>
                </c:pt>
                <c:pt idx="4">
                  <c:v>2160099.9849999999</c:v>
                </c:pt>
                <c:pt idx="5">
                  <c:v>2167902.9845500002</c:v>
                </c:pt>
                <c:pt idx="6">
                  <c:v>2175850.0740864999</c:v>
                </c:pt>
                <c:pt idx="7">
                  <c:v>2183944.2263090946</c:v>
                </c:pt>
              </c:numCache>
            </c:numRef>
          </c:val>
          <c:smooth val="0"/>
          <c:extLst>
            <c:ext xmlns:c16="http://schemas.microsoft.com/office/drawing/2014/chart" uri="{C3380CC4-5D6E-409C-BE32-E72D297353CC}">
              <c16:uniqueId val="{00000002-246F-4044-847B-8817D10FF1B7}"/>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2'!$R$2</c:f>
          <c:strCache>
            <c:ptCount val="1"/>
            <c:pt idx="0">
              <c:v>General Fund Reserves - Scenario 2</c:v>
            </c:pt>
          </c:strCache>
        </c:strRef>
      </c:tx>
      <c:layout>
        <c:manualLayout>
          <c:xMode val="edge"/>
          <c:yMode val="edge"/>
          <c:x val="0.21201862712086009"/>
          <c:y val="3.1283962674873357E-2"/>
        </c:manualLayout>
      </c:layout>
      <c:overlay val="0"/>
      <c:txPr>
        <a:bodyPr/>
        <a:lstStyle/>
        <a:p>
          <a:pPr>
            <a:defRPr sz="1600"/>
          </a:pPr>
          <a:endParaRPr lang="en-US"/>
        </a:p>
      </c:txPr>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2'!$R$54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2'!$S$54:$Z$54</c:f>
              <c:numCache>
                <c:formatCode>"$"#,##0_);[Red]\("$"#,##0\)</c:formatCode>
                <c:ptCount val="8"/>
                <c:pt idx="0">
                  <c:v>3554365.7086000014</c:v>
                </c:pt>
                <c:pt idx="1">
                  <c:v>3010205.0164880008</c:v>
                </c:pt>
                <c:pt idx="2">
                  <c:v>3676433.3520920514</c:v>
                </c:pt>
                <c:pt idx="3">
                  <c:v>4998219.1049449071</c:v>
                </c:pt>
                <c:pt idx="4">
                  <c:v>6430002.0595181454</c:v>
                </c:pt>
                <c:pt idx="5">
                  <c:v>7523696.0089297658</c:v>
                </c:pt>
                <c:pt idx="6">
                  <c:v>8255583.4749355372</c:v>
                </c:pt>
                <c:pt idx="7">
                  <c:v>8628019.3133761734</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4122-4B8F-9817-B3D6A030B21A}"/>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2'!$R$55</c:f>
              <c:strCache>
                <c:ptCount val="1"/>
                <c:pt idx="0">
                  <c:v>Reserve Goal</c:v>
                </c:pt>
              </c:strCache>
            </c:strRef>
          </c:tx>
          <c:spPr>
            <a:ln w="25400">
              <a:solidFill>
                <a:srgbClr val="C00000"/>
              </a:solidFill>
            </a:ln>
          </c:spPr>
          <c:marker>
            <c:symbol val="none"/>
          </c:marker>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4122-4B8F-9817-B3D6A030B21A}"/>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Fiscal Gap - Recession Scenario</a:t>
            </a:r>
          </a:p>
        </c:rich>
      </c:tx>
      <c:overlay val="0"/>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2'!$R$56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2'!$S$56:$Z$56</c:f>
              <c:numCache>
                <c:formatCode>"$"#,##0_);[Red]\("$"#,##0\)</c:formatCode>
                <c:ptCount val="8"/>
                <c:pt idx="0">
                  <c:v>54365.70860000141</c:v>
                </c:pt>
                <c:pt idx="1">
                  <c:v>-544160.69211200066</c:v>
                </c:pt>
                <c:pt idx="2">
                  <c:v>666228.33560405055</c:v>
                </c:pt>
                <c:pt idx="3">
                  <c:v>1321785.7528528559</c:v>
                </c:pt>
                <c:pt idx="4">
                  <c:v>1431782.9545732387</c:v>
                </c:pt>
                <c:pt idx="5">
                  <c:v>1093693.9494116204</c:v>
                </c:pt>
                <c:pt idx="6">
                  <c:v>731887.46600577189</c:v>
                </c:pt>
                <c:pt idx="7">
                  <c:v>372435.83844063617</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F052-47EE-9A05-C0265C7E96CF}"/>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2'!$R$53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F052-47EE-9A05-C0265C7E96CF}"/>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2'!$S$53:$Z$53</c:f>
              <c:numCache>
                <c:formatCode>_("$"* #,##0_);_("$"* \(#,##0\);_("$"* "-"??_);_(@_)</c:formatCode>
                <c:ptCount val="8"/>
                <c:pt idx="0">
                  <c:v>0</c:v>
                </c:pt>
                <c:pt idx="1">
                  <c:v>55000</c:v>
                </c:pt>
                <c:pt idx="2">
                  <c:v>1039983.3333333334</c:v>
                </c:pt>
                <c:pt idx="3">
                  <c:v>2025016.1666666667</c:v>
                </c:pt>
                <c:pt idx="4">
                  <c:v>2160099.9849999999</c:v>
                </c:pt>
                <c:pt idx="5">
                  <c:v>2167902.9845500002</c:v>
                </c:pt>
                <c:pt idx="6">
                  <c:v>2175850.0740864999</c:v>
                </c:pt>
                <c:pt idx="7">
                  <c:v>2183944.2263090946</c:v>
                </c:pt>
              </c:numCache>
            </c:numRef>
          </c:val>
          <c:smooth val="0"/>
          <c:extLst>
            <c:ext xmlns:c16="http://schemas.microsoft.com/office/drawing/2014/chart" uri="{C3380CC4-5D6E-409C-BE32-E72D297353CC}">
              <c16:uniqueId val="{00000002-F052-47EE-9A05-C0265C7E96CF}"/>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General</a:t>
            </a:r>
            <a:r>
              <a:rPr lang="en-US" sz="1600" baseline="0"/>
              <a:t> Fund Reserves - Recession Scenario</a:t>
            </a:r>
          </a:p>
        </c:rich>
      </c:tx>
      <c:layout>
        <c:manualLayout>
          <c:xMode val="edge"/>
          <c:yMode val="edge"/>
          <c:x val="0.2453155900638774"/>
          <c:y val="3.4445232401583002E-2"/>
        </c:manualLayout>
      </c:layout>
      <c:overlay val="0"/>
    </c:title>
    <c:autoTitleDeleted val="0"/>
    <c:plotArea>
      <c:layout>
        <c:manualLayout>
          <c:layoutTarget val="inner"/>
          <c:xMode val="edge"/>
          <c:yMode val="edge"/>
          <c:x val="0.12203826293236519"/>
          <c:y val="0.21571857831170516"/>
          <c:w val="0.84766324578732843"/>
          <c:h val="0.67924371809887962"/>
        </c:manualLayout>
      </c:layout>
      <c:barChart>
        <c:barDir val="col"/>
        <c:grouping val="clustered"/>
        <c:varyColors val="0"/>
        <c:ser>
          <c:idx val="1"/>
          <c:order val="1"/>
          <c:tx>
            <c:strRef>
              <c:f>'FSP MP Scen 2'!$R$54</c:f>
              <c:strCache>
                <c:ptCount val="1"/>
                <c:pt idx="0">
                  <c:v>Updated Year-End Reserves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2'!$S$54:$Z$54</c:f>
              <c:numCache>
                <c:formatCode>"$"#,##0_);[Red]\("$"#,##0\)</c:formatCode>
                <c:ptCount val="8"/>
                <c:pt idx="0">
                  <c:v>3554365.7086000014</c:v>
                </c:pt>
                <c:pt idx="1">
                  <c:v>3010205.0164880008</c:v>
                </c:pt>
                <c:pt idx="2">
                  <c:v>3676433.3520920514</c:v>
                </c:pt>
                <c:pt idx="3">
                  <c:v>4998219.1049449071</c:v>
                </c:pt>
                <c:pt idx="4">
                  <c:v>6430002.0595181454</c:v>
                </c:pt>
                <c:pt idx="5">
                  <c:v>7523696.0089297658</c:v>
                </c:pt>
                <c:pt idx="6">
                  <c:v>8255583.4749355372</c:v>
                </c:pt>
                <c:pt idx="7">
                  <c:v>8628019.3133761734</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45F7-4EC2-9AE3-CE22FC1B82E5}"/>
            </c:ext>
          </c:extLst>
        </c:ser>
        <c:dLbls>
          <c:showLegendKey val="0"/>
          <c:showVal val="0"/>
          <c:showCatName val="0"/>
          <c:showSerName val="0"/>
          <c:showPercent val="0"/>
          <c:showBubbleSize val="0"/>
        </c:dLbls>
        <c:gapWidth val="150"/>
        <c:axId val="280595840"/>
        <c:axId val="280609920"/>
      </c:barChart>
      <c:lineChart>
        <c:grouping val="standard"/>
        <c:varyColors val="0"/>
        <c:ser>
          <c:idx val="0"/>
          <c:order val="0"/>
          <c:tx>
            <c:strRef>
              <c:f>'FSP MP Scen 2'!$R$55</c:f>
              <c:strCache>
                <c:ptCount val="1"/>
                <c:pt idx="0">
                  <c:v>Reserve Goal</c:v>
                </c:pt>
              </c:strCache>
            </c:strRef>
          </c:tx>
          <c:spPr>
            <a:ln w="25400">
              <a:solidFill>
                <a:srgbClr val="C00000"/>
              </a:solidFill>
            </a:ln>
          </c:spPr>
          <c:marker>
            <c:symbol val="none"/>
          </c:marker>
          <c:cat>
            <c:strRef>
              <c:f>'FSP MP Scen 2'!$S$50:$Z$50</c:f>
              <c:strCache>
                <c:ptCount val="8"/>
                <c:pt idx="0">
                  <c:v>FY 20</c:v>
                </c:pt>
                <c:pt idx="1">
                  <c:v>FY 21</c:v>
                </c:pt>
                <c:pt idx="2">
                  <c:v>FY 22</c:v>
                </c:pt>
                <c:pt idx="3">
                  <c:v>FY 23</c:v>
                </c:pt>
                <c:pt idx="4">
                  <c:v>FY 24</c:v>
                </c:pt>
                <c:pt idx="5">
                  <c:v>FY 25</c:v>
                </c:pt>
                <c:pt idx="6">
                  <c:v>FY 26</c:v>
                </c:pt>
                <c:pt idx="7">
                  <c:v>FY 27</c:v>
                </c:pt>
              </c:strCache>
            </c:strRef>
          </c:cat>
          <c:val>
            <c:numRef>
              <c:f>'FSP MP Scen 2'!$S$55:$Z$55</c:f>
              <c:numCache>
                <c:formatCode>"$"#,##0_);[Red]\("$"#,##0\)</c:formatCode>
                <c:ptCount val="8"/>
                <c:pt idx="0">
                  <c:v>2477258.1622800003</c:v>
                </c:pt>
                <c:pt idx="1">
                  <c:v>2621007.5070168003</c:v>
                </c:pt>
                <c:pt idx="2">
                  <c:v>2736808.0350526082</c:v>
                </c:pt>
                <c:pt idx="3">
                  <c:v>2894259.2205367684</c:v>
                </c:pt>
                <c:pt idx="4">
                  <c:v>2992296.9818255594</c:v>
                </c:pt>
                <c:pt idx="5">
                  <c:v>3104875.4845911767</c:v>
                </c:pt>
                <c:pt idx="6">
                  <c:v>3221954.7412138521</c:v>
                </c:pt>
                <c:pt idx="7">
                  <c:v>3343725.305109228</c:v>
                </c:pt>
              </c:numCache>
            </c:numRef>
          </c:val>
          <c:smooth val="0"/>
          <c:extLst>
            <c:ext xmlns:c16="http://schemas.microsoft.com/office/drawing/2014/chart" uri="{C3380CC4-5D6E-409C-BE32-E72D297353CC}">
              <c16:uniqueId val="{00000001-45F7-4EC2-9AE3-CE22FC1B82E5}"/>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spPr>
            <a:ln>
              <a:solidFill>
                <a:schemeClr val="bg1">
                  <a:lumMod val="50000"/>
                </a:schemeClr>
              </a:solidFill>
            </a:ln>
          </c:spPr>
        </c:majorGridlines>
        <c:numFmt formatCode="General" sourceLinked="1"/>
        <c:majorTickMark val="out"/>
        <c:minorTickMark val="none"/>
        <c:tickLblPos val="low"/>
        <c:spPr>
          <a:ln w="15875" cmpd="sng">
            <a:solidFill>
              <a:schemeClr val="tx1"/>
            </a:solidFill>
            <a:prstDash val="solid"/>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0.18082632783019603"/>
          <c:y val="0.14003624289681307"/>
          <c:w val="0.63128692067395142"/>
          <c:h val="6.0265171179842793E-2"/>
        </c:manualLayout>
      </c:layout>
      <c:overlay val="0"/>
      <c:txPr>
        <a:bodyPr/>
        <a:lstStyle/>
        <a:p>
          <a:pPr>
            <a:defRPr sz="1100" b="1"/>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'FSP MP Scen 3'!$R$1</c:f>
          <c:strCache>
            <c:ptCount val="1"/>
            <c:pt idx="0">
              <c:v>Fiscal Gap - Scenario 3</c:v>
            </c:pt>
          </c:strCache>
        </c:strRef>
      </c:tx>
      <c:overlay val="0"/>
      <c:txPr>
        <a:bodyPr/>
        <a:lstStyle/>
        <a:p>
          <a:pPr>
            <a:defRPr sz="1600"/>
          </a:pPr>
          <a:endParaRPr lang="en-US"/>
        </a:p>
      </c:txPr>
    </c:title>
    <c:autoTitleDeleted val="0"/>
    <c:plotArea>
      <c:layout>
        <c:manualLayout>
          <c:layoutTarget val="inner"/>
          <c:xMode val="edge"/>
          <c:yMode val="edge"/>
          <c:x val="0.13033318545894784"/>
          <c:y val="0.16543772000383739"/>
          <c:w val="0.83936829843943928"/>
          <c:h val="0.7264231919323173"/>
        </c:manualLayout>
      </c:layout>
      <c:barChart>
        <c:barDir val="col"/>
        <c:grouping val="clustered"/>
        <c:varyColors val="0"/>
        <c:ser>
          <c:idx val="2"/>
          <c:order val="0"/>
          <c:tx>
            <c:strRef>
              <c:f>'FSP MP Scen 3'!$R$56</c:f>
              <c:strCache>
                <c:ptCount val="1"/>
                <c:pt idx="0">
                  <c:v>Fiscal Gap After Budget Strategies</c:v>
                </c:pt>
              </c:strCache>
            </c:strRef>
          </c:tx>
          <c:spPr>
            <a:solidFill>
              <a:srgbClr val="4472C4"/>
            </a:solidFill>
          </c:spPr>
          <c:invertIfNegative val="1"/>
          <c:dLbls>
            <c:numFmt formatCode="&quot;$&quot;#,##0.0_);[Red]\(&quot;$&quot;#,##0.0\)" sourceLinked="0"/>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3'!$S$56:$Z$56</c:f>
              <c:numCache>
                <c:formatCode>"$"#,##0_);[Red]\("$"#,##0\)</c:formatCode>
                <c:ptCount val="8"/>
                <c:pt idx="0">
                  <c:v>54365.70860000141</c:v>
                </c:pt>
                <c:pt idx="1">
                  <c:v>-444160.69211200066</c:v>
                </c:pt>
                <c:pt idx="2">
                  <c:v>-30771.664395949454</c:v>
                </c:pt>
                <c:pt idx="3">
                  <c:v>-100624.24714714405</c:v>
                </c:pt>
                <c:pt idx="4">
                  <c:v>134100.65457323892</c:v>
                </c:pt>
                <c:pt idx="5">
                  <c:v>-190718.81958837993</c:v>
                </c:pt>
                <c:pt idx="6">
                  <c:v>461184.31393577205</c:v>
                </c:pt>
                <c:pt idx="7">
                  <c:v>135897.06180853653</c:v>
                </c:pt>
              </c:numCache>
            </c:numRef>
          </c:val>
          <c:extLst>
            <c:ext xmlns:c14="http://schemas.microsoft.com/office/drawing/2007/8/2/chart" uri="{6F2FDCE9-48DA-4B69-8628-5D25D57E5C99}">
              <c14:invertSolidFillFmt>
                <c14:spPr xmlns:c14="http://schemas.microsoft.com/office/drawing/2007/8/2/chart">
                  <a:solidFill>
                    <a:srgbClr val="C00000"/>
                  </a:solidFill>
                </c14:spPr>
              </c14:invertSolidFillFmt>
            </c:ext>
            <c:ext xmlns:c16="http://schemas.microsoft.com/office/drawing/2014/chart" uri="{C3380CC4-5D6E-409C-BE32-E72D297353CC}">
              <c16:uniqueId val="{00000000-541E-4B52-A202-C94CE3C16338}"/>
            </c:ext>
          </c:extLst>
        </c:ser>
        <c:dLbls>
          <c:showLegendKey val="0"/>
          <c:showVal val="0"/>
          <c:showCatName val="0"/>
          <c:showSerName val="0"/>
          <c:showPercent val="0"/>
          <c:showBubbleSize val="0"/>
        </c:dLbls>
        <c:gapWidth val="75"/>
        <c:axId val="280595840"/>
        <c:axId val="280609920"/>
      </c:barChart>
      <c:lineChart>
        <c:grouping val="standard"/>
        <c:varyColors val="0"/>
        <c:ser>
          <c:idx val="0"/>
          <c:order val="1"/>
          <c:tx>
            <c:strRef>
              <c:f>'FSP MP Scen 3'!$R$53</c:f>
              <c:strCache>
                <c:ptCount val="1"/>
                <c:pt idx="0">
                  <c:v>Budget Strategies</c:v>
                </c:pt>
              </c:strCache>
            </c:strRef>
          </c:tx>
          <c:spPr>
            <a:ln w="19050">
              <a:solidFill>
                <a:srgbClr val="009900"/>
              </a:solidFill>
              <a:prstDash val="dash"/>
            </a:ln>
          </c:spPr>
          <c:marker>
            <c:symbol val="diamond"/>
            <c:size val="8"/>
            <c:spPr>
              <a:solidFill>
                <a:srgbClr val="009900"/>
              </a:solidFill>
              <a:ln>
                <a:solidFill>
                  <a:srgbClr val="0099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541E-4B52-A202-C94CE3C16338}"/>
                </c:ext>
              </c:extLst>
            </c:dLbl>
            <c:numFmt formatCode="&quot;$&quot;#,##0.0" sourceLinked="0"/>
            <c:spPr>
              <a:noFill/>
              <a:ln>
                <a:noFill/>
              </a:ln>
              <a:effectLst/>
            </c:spPr>
            <c:txPr>
              <a:bodyPr wrap="square" lIns="38100" tIns="19050" rIns="38100" bIns="19050" anchor="ctr">
                <a:spAutoFit/>
              </a:bodyPr>
              <a:lstStyle/>
              <a:p>
                <a:pPr>
                  <a:defRPr sz="1200" b="1">
                    <a:solidFill>
                      <a:srgbClr val="0099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'FSP MP Scen 3'!$S$50:$Z$50</c:f>
              <c:strCache>
                <c:ptCount val="8"/>
                <c:pt idx="0">
                  <c:v>FY 20</c:v>
                </c:pt>
                <c:pt idx="1">
                  <c:v>FY 21</c:v>
                </c:pt>
                <c:pt idx="2">
                  <c:v>FY 22</c:v>
                </c:pt>
                <c:pt idx="3">
                  <c:v>FY 23</c:v>
                </c:pt>
                <c:pt idx="4">
                  <c:v>FY 24</c:v>
                </c:pt>
                <c:pt idx="5">
                  <c:v>FY 25</c:v>
                </c:pt>
                <c:pt idx="6">
                  <c:v>FY 26</c:v>
                </c:pt>
                <c:pt idx="7">
                  <c:v>FY 27</c:v>
                </c:pt>
              </c:strCache>
            </c:strRef>
          </c:cat>
          <c:val>
            <c:numRef>
              <c:f>'FSP MP Scen 3'!$S$53:$Z$53</c:f>
              <c:numCache>
                <c:formatCode>_("$"* #,##0_);_("$"* \(#,##0\);_("$"* "-"??_);_(@_)</c:formatCode>
                <c:ptCount val="8"/>
                <c:pt idx="0">
                  <c:v>0</c:v>
                </c:pt>
                <c:pt idx="1">
                  <c:v>155000</c:v>
                </c:pt>
                <c:pt idx="2">
                  <c:v>342983.33333333337</c:v>
                </c:pt>
                <c:pt idx="3">
                  <c:v>602606.16666666674</c:v>
                </c:pt>
                <c:pt idx="4">
                  <c:v>862417.68500000006</c:v>
                </c:pt>
                <c:pt idx="5">
                  <c:v>883490.21554999985</c:v>
                </c:pt>
                <c:pt idx="6">
                  <c:v>1905146.9220165</c:v>
                </c:pt>
                <c:pt idx="7">
                  <c:v>1947405.4496769949</c:v>
                </c:pt>
              </c:numCache>
            </c:numRef>
          </c:val>
          <c:smooth val="0"/>
          <c:extLst>
            <c:ext xmlns:c16="http://schemas.microsoft.com/office/drawing/2014/chart" uri="{C3380CC4-5D6E-409C-BE32-E72D297353CC}">
              <c16:uniqueId val="{00000002-541E-4B52-A202-C94CE3C16338}"/>
            </c:ext>
          </c:extLst>
        </c:ser>
        <c:dLbls>
          <c:showLegendKey val="0"/>
          <c:showVal val="0"/>
          <c:showCatName val="0"/>
          <c:showSerName val="0"/>
          <c:showPercent val="0"/>
          <c:showBubbleSize val="0"/>
        </c:dLbls>
        <c:marker val="1"/>
        <c:smooth val="0"/>
        <c:axId val="280595840"/>
        <c:axId val="280609920"/>
      </c:lineChart>
      <c:catAx>
        <c:axId val="280595840"/>
        <c:scaling>
          <c:orientation val="minMax"/>
        </c:scaling>
        <c:delete val="0"/>
        <c:axPos val="b"/>
        <c:majorGridlines/>
        <c:numFmt formatCode="General" sourceLinked="1"/>
        <c:majorTickMark val="out"/>
        <c:minorTickMark val="none"/>
        <c:tickLblPos val="low"/>
        <c:spPr>
          <a:ln w="15875">
            <a:solidFill>
              <a:schemeClr val="tx1"/>
            </a:solidFill>
          </a:ln>
        </c:spPr>
        <c:txPr>
          <a:bodyPr/>
          <a:lstStyle/>
          <a:p>
            <a:pPr>
              <a:defRPr sz="1050" b="1">
                <a:latin typeface="+mn-lt"/>
              </a:defRPr>
            </a:pPr>
            <a:endParaRPr lang="en-US"/>
          </a:p>
        </c:txPr>
        <c:crossAx val="280609920"/>
        <c:crosses val="autoZero"/>
        <c:auto val="1"/>
        <c:lblAlgn val="ctr"/>
        <c:lblOffset val="100"/>
        <c:noMultiLvlLbl val="0"/>
      </c:catAx>
      <c:valAx>
        <c:axId val="280609920"/>
        <c:scaling>
          <c:orientation val="minMax"/>
        </c:scaling>
        <c:delete val="0"/>
        <c:axPos val="l"/>
        <c:majorGridlines>
          <c:spPr>
            <a:ln>
              <a:solidFill>
                <a:schemeClr val="bg1">
                  <a:lumMod val="65000"/>
                </a:schemeClr>
              </a:solidFill>
            </a:ln>
          </c:spPr>
        </c:majorGridlines>
        <c:numFmt formatCode="&quot;$&quot;#,##0.0_);[Red]\(&quot;$&quot;#,##0.0\)" sourceLinked="0"/>
        <c:majorTickMark val="out"/>
        <c:minorTickMark val="none"/>
        <c:tickLblPos val="nextTo"/>
        <c:txPr>
          <a:bodyPr/>
          <a:lstStyle/>
          <a:p>
            <a:pPr>
              <a:defRPr sz="1100" b="1"/>
            </a:pPr>
            <a:endParaRPr lang="en-US"/>
          </a:p>
        </c:txPr>
        <c:crossAx val="280595840"/>
        <c:crosses val="autoZero"/>
        <c:crossBetween val="between"/>
        <c:dispUnits>
          <c:builtInUnit val="millions"/>
        </c:dispUnits>
      </c:valAx>
    </c:plotArea>
    <c:legend>
      <c:legendPos val="t"/>
      <c:layout>
        <c:manualLayout>
          <c:xMode val="edge"/>
          <c:yMode val="edge"/>
          <c:x val="7.8143279286486581E-2"/>
          <c:y val="8.9128397375820054E-2"/>
          <c:w val="0.84856075877548176"/>
          <c:h val="6.4415781674793005E-2"/>
        </c:manualLayout>
      </c:layout>
      <c:overlay val="0"/>
      <c:txPr>
        <a:bodyPr/>
        <a:lstStyle/>
        <a:p>
          <a:pPr>
            <a:defRPr sz="1200"/>
          </a:pPr>
          <a:endParaRPr lang="en-US"/>
        </a:p>
      </c:txPr>
    </c:legend>
    <c:plotVisOnly val="1"/>
    <c:dispBlanksAs val="gap"/>
    <c:showDLblsOverMax val="0"/>
  </c:chart>
  <c:spPr>
    <a:ln w="12700">
      <a:solidFill>
        <a:schemeClr val="tx1"/>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2.png"/><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21167</xdr:rowOff>
    </xdr:from>
    <xdr:to>
      <xdr:col>1</xdr:col>
      <xdr:colOff>512157</xdr:colOff>
      <xdr:row>4</xdr:row>
      <xdr:rowOff>206587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249767"/>
          <a:ext cx="2120400" cy="8636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0.16182</cdr:x>
      <cdr:y>0.00867</cdr:y>
    </cdr:from>
    <cdr:to>
      <cdr:x>0.82901</cdr:x>
      <cdr:y>0.14018</cdr:y>
    </cdr:to>
    <cdr:sp macro="" textlink="Dashboard!$M$218">
      <cdr:nvSpPr>
        <cdr:cNvPr id="2" name="TextBox 1">
          <a:extLst xmlns:a="http://schemas.openxmlformats.org/drawingml/2006/main">
            <a:ext uri="{FF2B5EF4-FFF2-40B4-BE49-F238E27FC236}">
              <a16:creationId xmlns:a16="http://schemas.microsoft.com/office/drawing/2014/main" id="{ABEBC711-51C6-4717-B6E5-3CE69B7B05DC}"/>
            </a:ext>
          </a:extLst>
        </cdr:cNvPr>
        <cdr:cNvSpPr txBox="1"/>
      </cdr:nvSpPr>
      <cdr:spPr>
        <a:xfrm xmlns:a="http://schemas.openxmlformats.org/drawingml/2006/main">
          <a:off x="791632" y="25398"/>
          <a:ext cx="3263901" cy="38524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C86715E-F91A-4F4E-B0AF-80735101D7D8}" type="TxLink">
            <a:rPr lang="en-US" sz="1400" b="1" i="0" u="none" strike="noStrike">
              <a:solidFill>
                <a:srgbClr val="000000"/>
              </a:solidFill>
              <a:latin typeface="Calibri"/>
              <a:cs typeface="Calibri"/>
            </a:rPr>
            <a:pPr algn="ctr"/>
            <a:t>Kenmore, WA General Fund Revenue Loss as % of No-Recession Forecast</a:t>
          </a:fld>
          <a:endParaRPr lang="en-US" sz="2400" b="1"/>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4234</xdr:colOff>
      <xdr:row>21</xdr:row>
      <xdr:rowOff>4233</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0.36225</cdr:x>
      <cdr:y>0.85086</cdr:y>
    </cdr:from>
    <cdr:to>
      <cdr:x>0.38608</cdr:x>
      <cdr:y>0.99633</cdr:y>
    </cdr:to>
    <cdr:sp macro="" textlink="">
      <cdr:nvSpPr>
        <cdr:cNvPr id="2" name="Rectangle 1">
          <a:extLst xmlns:a="http://schemas.openxmlformats.org/drawingml/2006/main">
            <a:ext uri="{FF2B5EF4-FFF2-40B4-BE49-F238E27FC236}">
              <a16:creationId xmlns:a16="http://schemas.microsoft.com/office/drawing/2014/main" id="{4DC39E06-310C-47F1-B930-3AB3E91CDA7E}"/>
            </a:ext>
          </a:extLst>
        </cdr:cNvPr>
        <cdr:cNvSpPr/>
      </cdr:nvSpPr>
      <cdr:spPr>
        <a:xfrm xmlns:a="http://schemas.openxmlformats.org/drawingml/2006/main">
          <a:off x="3217334" y="2946400"/>
          <a:ext cx="211666" cy="503767"/>
        </a:xfrm>
        <a:prstGeom xmlns:a="http://schemas.openxmlformats.org/drawingml/2006/main" prst="rect">
          <a:avLst/>
        </a:prstGeom>
        <a:solidFill xmlns:a="http://schemas.openxmlformats.org/drawingml/2006/main">
          <a:srgbClr val="FFFF00">
            <a:alpha val="4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0.66158</cdr:x>
      <cdr:y>0.85208</cdr:y>
    </cdr:from>
    <cdr:to>
      <cdr:x>0.68541</cdr:x>
      <cdr:y>0.99756</cdr:y>
    </cdr:to>
    <cdr:sp macro="" textlink="">
      <cdr:nvSpPr>
        <cdr:cNvPr id="3" name="Rectangle 2">
          <a:extLst xmlns:a="http://schemas.openxmlformats.org/drawingml/2006/main">
            <a:ext uri="{FF2B5EF4-FFF2-40B4-BE49-F238E27FC236}">
              <a16:creationId xmlns:a16="http://schemas.microsoft.com/office/drawing/2014/main" id="{DC28E1C4-C5BC-43F9-8B0E-C70B8703EB5F}"/>
            </a:ext>
          </a:extLst>
        </cdr:cNvPr>
        <cdr:cNvSpPr/>
      </cdr:nvSpPr>
      <cdr:spPr>
        <a:xfrm xmlns:a="http://schemas.openxmlformats.org/drawingml/2006/main">
          <a:off x="5875867" y="2950633"/>
          <a:ext cx="211666" cy="503767"/>
        </a:xfrm>
        <a:prstGeom xmlns:a="http://schemas.openxmlformats.org/drawingml/2006/main" prst="rect">
          <a:avLst/>
        </a:prstGeom>
        <a:solidFill xmlns:a="http://schemas.openxmlformats.org/drawingml/2006/main">
          <a:srgbClr val="FFFF00">
            <a:alpha val="4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0.95949</cdr:x>
      <cdr:y>0.85452</cdr:y>
    </cdr:from>
    <cdr:to>
      <cdr:x>0.98332</cdr:x>
      <cdr:y>1</cdr:y>
    </cdr:to>
    <cdr:sp macro="" textlink="">
      <cdr:nvSpPr>
        <cdr:cNvPr id="4" name="Rectangle 3">
          <a:extLst xmlns:a="http://schemas.openxmlformats.org/drawingml/2006/main">
            <a:ext uri="{FF2B5EF4-FFF2-40B4-BE49-F238E27FC236}">
              <a16:creationId xmlns:a16="http://schemas.microsoft.com/office/drawing/2014/main" id="{AAD58B83-0E82-4894-A25C-44ACE2A33DFA}"/>
            </a:ext>
          </a:extLst>
        </cdr:cNvPr>
        <cdr:cNvSpPr/>
      </cdr:nvSpPr>
      <cdr:spPr>
        <a:xfrm xmlns:a="http://schemas.openxmlformats.org/drawingml/2006/main">
          <a:off x="8521700" y="2959099"/>
          <a:ext cx="211666" cy="503767"/>
        </a:xfrm>
        <a:prstGeom xmlns:a="http://schemas.openxmlformats.org/drawingml/2006/main" prst="rect">
          <a:avLst/>
        </a:prstGeom>
        <a:solidFill xmlns:a="http://schemas.openxmlformats.org/drawingml/2006/main">
          <a:srgbClr val="FFFF00">
            <a:alpha val="4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0.06387</cdr:x>
      <cdr:y>0.85452</cdr:y>
    </cdr:from>
    <cdr:to>
      <cdr:x>0.0877</cdr:x>
      <cdr:y>1</cdr:y>
    </cdr:to>
    <cdr:sp macro="" textlink="">
      <cdr:nvSpPr>
        <cdr:cNvPr id="5" name="Rectangle 4">
          <a:extLst xmlns:a="http://schemas.openxmlformats.org/drawingml/2006/main">
            <a:ext uri="{FF2B5EF4-FFF2-40B4-BE49-F238E27FC236}">
              <a16:creationId xmlns:a16="http://schemas.microsoft.com/office/drawing/2014/main" id="{163B24D2-D645-4C02-A39C-88CFCD879AF4}"/>
            </a:ext>
          </a:extLst>
        </cdr:cNvPr>
        <cdr:cNvSpPr/>
      </cdr:nvSpPr>
      <cdr:spPr>
        <a:xfrm xmlns:a="http://schemas.openxmlformats.org/drawingml/2006/main">
          <a:off x="567267" y="2959099"/>
          <a:ext cx="211666" cy="503767"/>
        </a:xfrm>
        <a:prstGeom xmlns:a="http://schemas.openxmlformats.org/drawingml/2006/main" prst="rect">
          <a:avLst/>
        </a:prstGeom>
        <a:solidFill xmlns:a="http://schemas.openxmlformats.org/drawingml/2006/main">
          <a:srgbClr val="FFFF00">
            <a:alpha val="4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16</xdr:col>
      <xdr:colOff>94128</xdr:colOff>
      <xdr:row>11</xdr:row>
      <xdr:rowOff>171450</xdr:rowOff>
    </xdr:from>
    <xdr:to>
      <xdr:col>22</xdr:col>
      <xdr:colOff>407670</xdr:colOff>
      <xdr:row>23</xdr:row>
      <xdr:rowOff>205740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466725</xdr:colOff>
      <xdr:row>11</xdr:row>
      <xdr:rowOff>173579</xdr:rowOff>
    </xdr:from>
    <xdr:to>
      <xdr:col>29</xdr:col>
      <xdr:colOff>473786</xdr:colOff>
      <xdr:row>23</xdr:row>
      <xdr:rowOff>205740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64770</xdr:colOff>
      <xdr:row>25</xdr:row>
      <xdr:rowOff>167640</xdr:rowOff>
    </xdr:from>
    <xdr:to>
      <xdr:col>16</xdr:col>
      <xdr:colOff>200025</xdr:colOff>
      <xdr:row>48</xdr:row>
      <xdr:rowOff>49530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91440</xdr:colOff>
      <xdr:row>25</xdr:row>
      <xdr:rowOff>167640</xdr:rowOff>
    </xdr:from>
    <xdr:to>
      <xdr:col>25</xdr:col>
      <xdr:colOff>57150</xdr:colOff>
      <xdr:row>48</xdr:row>
      <xdr:rowOff>28351</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94128</xdr:colOff>
      <xdr:row>11</xdr:row>
      <xdr:rowOff>171450</xdr:rowOff>
    </xdr:from>
    <xdr:to>
      <xdr:col>22</xdr:col>
      <xdr:colOff>407670</xdr:colOff>
      <xdr:row>23</xdr:row>
      <xdr:rowOff>205740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466725</xdr:colOff>
      <xdr:row>11</xdr:row>
      <xdr:rowOff>173579</xdr:rowOff>
    </xdr:from>
    <xdr:to>
      <xdr:col>29</xdr:col>
      <xdr:colOff>473786</xdr:colOff>
      <xdr:row>23</xdr:row>
      <xdr:rowOff>205740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64770</xdr:colOff>
      <xdr:row>25</xdr:row>
      <xdr:rowOff>167640</xdr:rowOff>
    </xdr:from>
    <xdr:to>
      <xdr:col>16</xdr:col>
      <xdr:colOff>200025</xdr:colOff>
      <xdr:row>48</xdr:row>
      <xdr:rowOff>49530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91440</xdr:colOff>
      <xdr:row>25</xdr:row>
      <xdr:rowOff>167640</xdr:rowOff>
    </xdr:from>
    <xdr:to>
      <xdr:col>25</xdr:col>
      <xdr:colOff>57150</xdr:colOff>
      <xdr:row>48</xdr:row>
      <xdr:rowOff>28351</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94128</xdr:colOff>
      <xdr:row>11</xdr:row>
      <xdr:rowOff>171450</xdr:rowOff>
    </xdr:from>
    <xdr:to>
      <xdr:col>22</xdr:col>
      <xdr:colOff>407670</xdr:colOff>
      <xdr:row>23</xdr:row>
      <xdr:rowOff>205740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466725</xdr:colOff>
      <xdr:row>11</xdr:row>
      <xdr:rowOff>173579</xdr:rowOff>
    </xdr:from>
    <xdr:to>
      <xdr:col>29</xdr:col>
      <xdr:colOff>473786</xdr:colOff>
      <xdr:row>23</xdr:row>
      <xdr:rowOff>205740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64770</xdr:colOff>
      <xdr:row>25</xdr:row>
      <xdr:rowOff>167640</xdr:rowOff>
    </xdr:from>
    <xdr:to>
      <xdr:col>16</xdr:col>
      <xdr:colOff>200025</xdr:colOff>
      <xdr:row>48</xdr:row>
      <xdr:rowOff>49530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91440</xdr:colOff>
      <xdr:row>25</xdr:row>
      <xdr:rowOff>167640</xdr:rowOff>
    </xdr:from>
    <xdr:to>
      <xdr:col>25</xdr:col>
      <xdr:colOff>57150</xdr:colOff>
      <xdr:row>48</xdr:row>
      <xdr:rowOff>28351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94128</xdr:colOff>
      <xdr:row>11</xdr:row>
      <xdr:rowOff>171450</xdr:rowOff>
    </xdr:from>
    <xdr:to>
      <xdr:col>22</xdr:col>
      <xdr:colOff>407670</xdr:colOff>
      <xdr:row>23</xdr:row>
      <xdr:rowOff>205740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466725</xdr:colOff>
      <xdr:row>11</xdr:row>
      <xdr:rowOff>173579</xdr:rowOff>
    </xdr:from>
    <xdr:to>
      <xdr:col>29</xdr:col>
      <xdr:colOff>473786</xdr:colOff>
      <xdr:row>23</xdr:row>
      <xdr:rowOff>205740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64770</xdr:colOff>
      <xdr:row>25</xdr:row>
      <xdr:rowOff>167640</xdr:rowOff>
    </xdr:from>
    <xdr:to>
      <xdr:col>16</xdr:col>
      <xdr:colOff>200025</xdr:colOff>
      <xdr:row>48</xdr:row>
      <xdr:rowOff>49530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91440</xdr:colOff>
      <xdr:row>25</xdr:row>
      <xdr:rowOff>167640</xdr:rowOff>
    </xdr:from>
    <xdr:to>
      <xdr:col>25</xdr:col>
      <xdr:colOff>57150</xdr:colOff>
      <xdr:row>48</xdr:row>
      <xdr:rowOff>28351</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872066</xdr:colOff>
      <xdr:row>1</xdr:row>
      <xdr:rowOff>0</xdr:rowOff>
    </xdr:from>
    <xdr:to>
      <xdr:col>11</xdr:col>
      <xdr:colOff>506306</xdr:colOff>
      <xdr:row>16</xdr:row>
      <xdr:rowOff>169267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5</xdr:col>
      <xdr:colOff>508000</xdr:colOff>
      <xdr:row>16</xdr:row>
      <xdr:rowOff>177799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533400</xdr:colOff>
      <xdr:row>26</xdr:row>
      <xdr:rowOff>55033</xdr:rowOff>
    </xdr:from>
    <xdr:to>
      <xdr:col>14</xdr:col>
      <xdr:colOff>698500</xdr:colOff>
      <xdr:row>30</xdr:row>
      <xdr:rowOff>118534</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a:off x="12268200" y="4445000"/>
          <a:ext cx="165100" cy="791634"/>
        </a:xfrm>
        <a:prstGeom prst="rightBrace">
          <a:avLst/>
        </a:prstGeom>
        <a:ln w="952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5</xdr:col>
      <xdr:colOff>187157</xdr:colOff>
      <xdr:row>20</xdr:row>
      <xdr:rowOff>25401</xdr:rowOff>
    </xdr:from>
    <xdr:to>
      <xdr:col>6</xdr:col>
      <xdr:colOff>666936</xdr:colOff>
      <xdr:row>23</xdr:row>
      <xdr:rowOff>58420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stretch>
          <a:fillRect/>
        </a:stretch>
      </xdr:blipFill>
      <xdr:spPr>
        <a:xfrm>
          <a:off x="4568657" y="3526368"/>
          <a:ext cx="1340839" cy="546099"/>
        </a:xfrm>
        <a:prstGeom prst="rect">
          <a:avLst/>
        </a:prstGeom>
      </xdr:spPr>
    </xdr:pic>
    <xdr:clientData/>
  </xdr:twoCellAnchor>
  <xdr:twoCellAnchor>
    <xdr:from>
      <xdr:col>14</xdr:col>
      <xdr:colOff>533400</xdr:colOff>
      <xdr:row>26</xdr:row>
      <xdr:rowOff>55033</xdr:rowOff>
    </xdr:from>
    <xdr:to>
      <xdr:col>14</xdr:col>
      <xdr:colOff>698500</xdr:colOff>
      <xdr:row>30</xdr:row>
      <xdr:rowOff>118534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a:off x="12412133" y="4809066"/>
          <a:ext cx="165100" cy="795868"/>
        </a:xfrm>
        <a:prstGeom prst="rightBrace">
          <a:avLst/>
        </a:prstGeom>
        <a:ln w="952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8467</xdr:colOff>
      <xdr:row>1</xdr:row>
      <xdr:rowOff>0</xdr:rowOff>
    </xdr:from>
    <xdr:to>
      <xdr:col>17</xdr:col>
      <xdr:colOff>541867</xdr:colOff>
      <xdr:row>16</xdr:row>
      <xdr:rowOff>177799</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18</xdr:col>
      <xdr:colOff>863600</xdr:colOff>
      <xdr:row>1</xdr:row>
      <xdr:rowOff>0</xdr:rowOff>
    </xdr:from>
    <xdr:to>
      <xdr:col>24</xdr:col>
      <xdr:colOff>497840</xdr:colOff>
      <xdr:row>16</xdr:row>
      <xdr:rowOff>169267</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7</xdr:col>
          <xdr:colOff>441960</xdr:colOff>
          <xdr:row>41</xdr:row>
          <xdr:rowOff>7620</xdr:rowOff>
        </xdr:from>
        <xdr:to>
          <xdr:col>8</xdr:col>
          <xdr:colOff>563880</xdr:colOff>
          <xdr:row>41</xdr:row>
          <xdr:rowOff>175260</xdr:rowOff>
        </xdr:to>
        <xdr:sp macro="" textlink="">
          <xdr:nvSpPr>
            <xdr:cNvPr id="4358" name="Button 262" hidden="1">
              <a:extLst>
                <a:ext uri="{63B3BB69-23CF-44E3-9099-C40C66FF867C}">
                  <a14:compatExt spid="_x0000_s4358"/>
                </a:ext>
                <a:ext uri="{FF2B5EF4-FFF2-40B4-BE49-F238E27FC236}">
                  <a16:creationId xmlns:a16="http://schemas.microsoft.com/office/drawing/2014/main" id="{00000000-0008-0000-0700-00000611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Calibri"/>
                  <a:cs typeface="Calibri"/>
                </a:rPr>
                <a:t>FY21 Loss Grow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670560</xdr:colOff>
          <xdr:row>41</xdr:row>
          <xdr:rowOff>22860</xdr:rowOff>
        </xdr:from>
        <xdr:to>
          <xdr:col>9</xdr:col>
          <xdr:colOff>792480</xdr:colOff>
          <xdr:row>41</xdr:row>
          <xdr:rowOff>175260</xdr:rowOff>
        </xdr:to>
        <xdr:sp macro="" textlink="">
          <xdr:nvSpPr>
            <xdr:cNvPr id="4359" name="Button 263" hidden="1">
              <a:extLst>
                <a:ext uri="{63B3BB69-23CF-44E3-9099-C40C66FF867C}">
                  <a14:compatExt spid="_x0000_s4359"/>
                </a:ext>
                <a:ext uri="{FF2B5EF4-FFF2-40B4-BE49-F238E27FC236}">
                  <a16:creationId xmlns:a16="http://schemas.microsoft.com/office/drawing/2014/main" id="{00000000-0008-0000-0700-00000711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Calibri"/>
                  <a:cs typeface="Calibri"/>
                </a:rPr>
                <a:t>FY21 Loss Reduce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441960</xdr:colOff>
          <xdr:row>41</xdr:row>
          <xdr:rowOff>7620</xdr:rowOff>
        </xdr:from>
        <xdr:to>
          <xdr:col>12</xdr:col>
          <xdr:colOff>556260</xdr:colOff>
          <xdr:row>41</xdr:row>
          <xdr:rowOff>175260</xdr:rowOff>
        </xdr:to>
        <xdr:sp macro="" textlink="">
          <xdr:nvSpPr>
            <xdr:cNvPr id="4360" name="Button 264" hidden="1">
              <a:extLst>
                <a:ext uri="{63B3BB69-23CF-44E3-9099-C40C66FF867C}">
                  <a14:compatExt spid="_x0000_s4360"/>
                </a:ext>
                <a:ext uri="{FF2B5EF4-FFF2-40B4-BE49-F238E27FC236}">
                  <a16:creationId xmlns:a16="http://schemas.microsoft.com/office/drawing/2014/main" id="{00000000-0008-0000-0700-00000811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Calibri"/>
                  <a:cs typeface="Calibri"/>
                </a:rPr>
                <a:t>FY22 Loss Grow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670560</xdr:colOff>
          <xdr:row>41</xdr:row>
          <xdr:rowOff>7620</xdr:rowOff>
        </xdr:from>
        <xdr:to>
          <xdr:col>13</xdr:col>
          <xdr:colOff>792480</xdr:colOff>
          <xdr:row>41</xdr:row>
          <xdr:rowOff>175260</xdr:rowOff>
        </xdr:to>
        <xdr:sp macro="" textlink="">
          <xdr:nvSpPr>
            <xdr:cNvPr id="4361" name="Button 265" hidden="1">
              <a:extLst>
                <a:ext uri="{63B3BB69-23CF-44E3-9099-C40C66FF867C}">
                  <a14:compatExt spid="_x0000_s4361"/>
                </a:ext>
                <a:ext uri="{FF2B5EF4-FFF2-40B4-BE49-F238E27FC236}">
                  <a16:creationId xmlns:a16="http://schemas.microsoft.com/office/drawing/2014/main" id="{00000000-0008-0000-0700-00000911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Calibri"/>
                  <a:cs typeface="Calibri"/>
                </a:rPr>
                <a:t>FY22 Loss Reduce</a:t>
              </a:r>
            </a:p>
          </xdr:txBody>
        </xdr:sp>
        <xdr:clientData fPrintsWithSheet="0"/>
      </xdr:twoCellAnchor>
    </mc:Choice>
    <mc:Fallback/>
  </mc:AlternateContent>
  <xdr:twoCellAnchor editAs="oneCell">
    <xdr:from>
      <xdr:col>13</xdr:col>
      <xdr:colOff>237066</xdr:colOff>
      <xdr:row>25</xdr:row>
      <xdr:rowOff>119608</xdr:rowOff>
    </xdr:from>
    <xdr:to>
      <xdr:col>14</xdr:col>
      <xdr:colOff>398479</xdr:colOff>
      <xdr:row>31</xdr:row>
      <xdr:rowOff>19837</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a:stretch>
          <a:fillRect/>
        </a:stretch>
      </xdr:blipFill>
      <xdr:spPr>
        <a:xfrm>
          <a:off x="11628966" y="4488408"/>
          <a:ext cx="1045333" cy="941629"/>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0.01211</cdr:x>
      <cdr:y>0.00867</cdr:y>
    </cdr:from>
    <cdr:to>
      <cdr:x>0.9891</cdr:x>
      <cdr:y>0.14018</cdr:y>
    </cdr:to>
    <cdr:sp macro="" textlink="Dashboard!$M$216">
      <cdr:nvSpPr>
        <cdr:cNvPr id="2" name="TextBox 1">
          <a:extLst xmlns:a="http://schemas.openxmlformats.org/drawingml/2006/main">
            <a:ext uri="{FF2B5EF4-FFF2-40B4-BE49-F238E27FC236}">
              <a16:creationId xmlns:a16="http://schemas.microsoft.com/office/drawing/2014/main" id="{ABEBC711-51C6-4717-B6E5-3CE69B7B05DC}"/>
            </a:ext>
          </a:extLst>
        </cdr:cNvPr>
        <cdr:cNvSpPr txBox="1"/>
      </cdr:nvSpPr>
      <cdr:spPr>
        <a:xfrm xmlns:a="http://schemas.openxmlformats.org/drawingml/2006/main">
          <a:off x="59267" y="25399"/>
          <a:ext cx="4779434" cy="38523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5C0F863-CC04-4EE4-A74D-F4AB3315E488}" type="TxLink">
            <a:rPr lang="en-US" sz="1400" b="1" i="0" u="none" strike="noStrike">
              <a:solidFill>
                <a:srgbClr val="000000"/>
              </a:solidFill>
              <a:latin typeface="Calibri"/>
              <a:cs typeface="Calibri"/>
            </a:rPr>
            <a:pPr algn="ctr"/>
            <a:t>Kenmore, WA Change in General Fund Balance
Recession Forecast (mil.)</a:t>
          </a:fld>
          <a:endParaRPr lang="en-US" sz="1800" b="1"/>
        </a:p>
      </cdr:txBody>
    </cdr:sp>
  </cdr:relSizeAnchor>
</c:userShapes>
</file>

<file path=xl/drawings/drawing8.xml><?xml version="1.0" encoding="utf-8"?>
<c:userShapes xmlns:c="http://schemas.openxmlformats.org/drawingml/2006/chart">
  <cdr:relSizeAnchor xmlns:cdr="http://schemas.openxmlformats.org/drawingml/2006/chartDrawing">
    <cdr:from>
      <cdr:x>0.01039</cdr:x>
      <cdr:y>0.01729</cdr:y>
    </cdr:from>
    <cdr:to>
      <cdr:x>0.98182</cdr:x>
      <cdr:y>0.09589</cdr:y>
    </cdr:to>
    <cdr:sp macro="" textlink="Dashboard!$M$214">
      <cdr:nvSpPr>
        <cdr:cNvPr id="2" name="TextBox 1">
          <a:extLst xmlns:a="http://schemas.openxmlformats.org/drawingml/2006/main">
            <a:ext uri="{FF2B5EF4-FFF2-40B4-BE49-F238E27FC236}">
              <a16:creationId xmlns:a16="http://schemas.microsoft.com/office/drawing/2014/main" id="{801A8A66-D89F-41C8-9CD9-650015A333A0}"/>
            </a:ext>
          </a:extLst>
        </cdr:cNvPr>
        <cdr:cNvSpPr txBox="1"/>
      </cdr:nvSpPr>
      <cdr:spPr>
        <a:xfrm xmlns:a="http://schemas.openxmlformats.org/drawingml/2006/main">
          <a:off x="50800" y="50800"/>
          <a:ext cx="4749800" cy="23093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DE3C941-D50B-4687-8610-2CBDE5E011BD}" type="TxLink">
            <a:rPr lang="en-US" sz="1400" b="1" i="0" u="none" strike="noStrike">
              <a:solidFill>
                <a:srgbClr val="000000"/>
              </a:solidFill>
              <a:latin typeface="Calibri"/>
              <a:cs typeface="Calibri"/>
            </a:rPr>
            <a:pPr algn="ctr"/>
            <a:t>Kenmore, WA General Fund Balance (mil.)</a:t>
          </a:fld>
          <a:endParaRPr lang="en-US" sz="1800" b="1"/>
        </a:p>
      </cdr:txBody>
    </cdr:sp>
  </cdr:relSizeAnchor>
</c:userShapes>
</file>

<file path=xl/drawings/drawing9.xml><?xml version="1.0" encoding="utf-8"?>
<c:userShapes xmlns:c="http://schemas.openxmlformats.org/drawingml/2006/chart">
  <cdr:relSizeAnchor xmlns:cdr="http://schemas.openxmlformats.org/drawingml/2006/chartDrawing">
    <cdr:from>
      <cdr:x>0.01644</cdr:x>
      <cdr:y>0.01601</cdr:y>
    </cdr:from>
    <cdr:to>
      <cdr:x>0.98702</cdr:x>
      <cdr:y>0.09461</cdr:y>
    </cdr:to>
    <cdr:sp macro="" textlink="Dashboard!$M$215">
      <cdr:nvSpPr>
        <cdr:cNvPr id="2" name="TextBox 1">
          <a:extLst xmlns:a="http://schemas.openxmlformats.org/drawingml/2006/main">
            <a:ext uri="{FF2B5EF4-FFF2-40B4-BE49-F238E27FC236}">
              <a16:creationId xmlns:a16="http://schemas.microsoft.com/office/drawing/2014/main" id="{077CAACF-C50A-4977-8CAF-DF96E9229AD1}"/>
            </a:ext>
          </a:extLst>
        </cdr:cNvPr>
        <cdr:cNvSpPr txBox="1"/>
      </cdr:nvSpPr>
      <cdr:spPr>
        <a:xfrm xmlns:a="http://schemas.openxmlformats.org/drawingml/2006/main">
          <a:off x="80434" y="46567"/>
          <a:ext cx="4749800"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1846152E-103F-416A-B25D-6E322149CD46}" type="TxLink">
            <a:rPr lang="en-US" sz="1400" b="1" i="0" u="none" strike="noStrike">
              <a:solidFill>
                <a:srgbClr val="000000"/>
              </a:solidFill>
              <a:latin typeface="Calibri"/>
              <a:cs typeface="Calibri"/>
            </a:rPr>
            <a:pPr algn="ctr"/>
            <a:t>Kenmore, WA General Fund Revenue Gap (mil.)</a:t>
          </a:fld>
          <a:endParaRPr lang="en-US" sz="1400" b="1"/>
        </a:p>
      </cdr:txBody>
    </cdr:sp>
  </cdr:relSizeAnchor>
  <cdr:relSizeAnchor xmlns:cdr="http://schemas.openxmlformats.org/drawingml/2006/chartDrawing">
    <cdr:from>
      <cdr:x>0.65971</cdr:x>
      <cdr:y>0.17147</cdr:y>
    </cdr:from>
    <cdr:to>
      <cdr:x>0.70383</cdr:x>
      <cdr:y>0.20029</cdr:y>
    </cdr:to>
    <cdr:sp macro="" textlink="">
      <cdr:nvSpPr>
        <cdr:cNvPr id="3" name="TextBox 2">
          <a:extLst xmlns:a="http://schemas.openxmlformats.org/drawingml/2006/main">
            <a:ext uri="{FF2B5EF4-FFF2-40B4-BE49-F238E27FC236}">
              <a16:creationId xmlns:a16="http://schemas.microsoft.com/office/drawing/2014/main" id="{77201AAA-4382-4A3A-83E9-FAC97C79F93D}"/>
            </a:ext>
          </a:extLst>
        </cdr:cNvPr>
        <cdr:cNvSpPr txBox="1"/>
      </cdr:nvSpPr>
      <cdr:spPr>
        <a:xfrm xmlns:a="http://schemas.openxmlformats.org/drawingml/2006/main">
          <a:off x="3270338" y="503759"/>
          <a:ext cx="218717" cy="84674"/>
        </a:xfrm>
        <a:prstGeom xmlns:a="http://schemas.openxmlformats.org/drawingml/2006/main" prst="rect">
          <a:avLst/>
        </a:prstGeom>
        <a:solidFill xmlns:a="http://schemas.openxmlformats.org/drawingml/2006/main">
          <a:srgbClr val="FFFF00"/>
        </a:solidFill>
        <a:ln xmlns:a="http://schemas.openxmlformats.org/drawingml/2006/main" w="9525" cmpd="sng">
          <a:solidFill>
            <a:srgbClr val="0099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0.72275</cdr:x>
      <cdr:y>0.1585</cdr:y>
    </cdr:from>
    <cdr:to>
      <cdr:x>0.91133</cdr:x>
      <cdr:y>0.21326</cdr:y>
    </cdr:to>
    <cdr:sp macro="" textlink="">
      <cdr:nvSpPr>
        <cdr:cNvPr id="4" name="TextBox 1">
          <a:extLst xmlns:a="http://schemas.openxmlformats.org/drawingml/2006/main">
            <a:ext uri="{FF2B5EF4-FFF2-40B4-BE49-F238E27FC236}">
              <a16:creationId xmlns:a16="http://schemas.microsoft.com/office/drawing/2014/main" id="{26809634-2280-4FC8-A8E5-C6D0A6C29A4A}"/>
            </a:ext>
          </a:extLst>
        </cdr:cNvPr>
        <cdr:cNvSpPr txBox="1"/>
      </cdr:nvSpPr>
      <cdr:spPr>
        <a:xfrm xmlns:a="http://schemas.openxmlformats.org/drawingml/2006/main">
          <a:off x="3582840" y="465657"/>
          <a:ext cx="934835" cy="16088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Revenue Loss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C000"/>
    <pageSetUpPr fitToPage="1"/>
  </sheetPr>
  <dimension ref="A1:AD37"/>
  <sheetViews>
    <sheetView tabSelected="1" workbookViewId="0">
      <selection activeCell="A8" sqref="A8"/>
    </sheetView>
  </sheetViews>
  <sheetFormatPr defaultColWidth="8.88671875" defaultRowHeight="18"/>
  <cols>
    <col min="1" max="1" width="22.33203125" style="374" customWidth="1"/>
    <col min="2" max="4" width="12.6640625" style="374" customWidth="1"/>
    <col min="5" max="5" width="16.44140625" style="374" customWidth="1"/>
    <col min="6" max="14" width="12.6640625" style="374" customWidth="1"/>
    <col min="15" max="16384" width="8.88671875" style="374"/>
  </cols>
  <sheetData>
    <row r="1" spans="1:30">
      <c r="A1" s="373" t="s">
        <v>114</v>
      </c>
      <c r="B1" s="373"/>
      <c r="C1" s="373" t="s">
        <v>115</v>
      </c>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row>
    <row r="2" spans="1:30">
      <c r="A2" s="373"/>
      <c r="B2" s="373"/>
      <c r="C2" s="375" t="s">
        <v>116</v>
      </c>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row>
    <row r="3" spans="1:30">
      <c r="A3" s="373"/>
      <c r="B3" s="373"/>
      <c r="C3" s="375" t="s">
        <v>117</v>
      </c>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c r="A4" s="373"/>
      <c r="B4" s="373"/>
      <c r="C4" s="375" t="s">
        <v>118</v>
      </c>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row>
    <row r="5" spans="1:30">
      <c r="A5" s="373"/>
      <c r="B5" s="373"/>
      <c r="C5" s="375" t="s">
        <v>119</v>
      </c>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row>
    <row r="6" spans="1:30">
      <c r="A6" s="373" t="s">
        <v>468</v>
      </c>
      <c r="B6" s="373"/>
      <c r="C6" s="373" t="s">
        <v>139</v>
      </c>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row>
    <row r="7" spans="1:30">
      <c r="A7" s="376">
        <v>44067</v>
      </c>
      <c r="B7" s="376"/>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row>
    <row r="8" spans="1:30" ht="20.399999999999999" customHeight="1">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row>
    <row r="9" spans="1:30" ht="28.8">
      <c r="A9" s="370" t="s">
        <v>349</v>
      </c>
      <c r="B9" s="371"/>
      <c r="C9" s="371"/>
      <c r="D9" s="371"/>
      <c r="E9" s="372"/>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row>
    <row r="10" spans="1:30" ht="202.95" customHeight="1">
      <c r="A10" s="606" t="str">
        <f>"This Fiscal Diagnostic Tool is the intellectual property of Management Partners, intended for the sole and exclusive use of the City of "&amp;AgencyName&amp;". Any redistribution of this model to anyone outside of the City of "&amp;AgencyName&amp;", without the expressed written consent of Management Partners, is strictly prohibited.  © 2020 Management Partners"</f>
        <v>This Fiscal Diagnostic Tool is the intellectual property of Management Partners, intended for the sole and exclusive use of the City of Kenmore, WA. Any redistribution of this model to anyone outside of the City of Kenmore, WA, without the expressed written consent of Management Partners, is strictly prohibited.  © 2020 Management Partners</v>
      </c>
      <c r="B10" s="607"/>
      <c r="C10" s="607"/>
      <c r="D10" s="607"/>
      <c r="E10" s="608"/>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row>
    <row r="11" spans="1:30">
      <c r="A11" s="373"/>
      <c r="B11" s="373"/>
      <c r="C11" s="373"/>
      <c r="D11" s="373"/>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row>
    <row r="12" spans="1:30">
      <c r="A12" s="373"/>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row>
    <row r="13" spans="1:30">
      <c r="A13" s="373"/>
      <c r="B13" s="373"/>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row>
    <row r="14" spans="1:30">
      <c r="A14" s="373"/>
      <c r="B14" s="37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row>
    <row r="15" spans="1:30">
      <c r="A15" s="373"/>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row>
    <row r="16" spans="1:30">
      <c r="A16" s="373"/>
      <c r="B16" s="373"/>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row>
    <row r="17" spans="1:30">
      <c r="A17" s="373"/>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row>
    <row r="18" spans="1:30">
      <c r="A18" s="373"/>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row>
    <row r="19" spans="1:30">
      <c r="A19" s="373"/>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row>
    <row r="20" spans="1:30">
      <c r="A20" s="373"/>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row>
    <row r="21" spans="1:30">
      <c r="A21" s="373"/>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row>
    <row r="22" spans="1:30">
      <c r="A22" s="373"/>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row>
    <row r="23" spans="1:30">
      <c r="A23" s="373"/>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row>
    <row r="24" spans="1:30">
      <c r="A24" s="373"/>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row>
    <row r="25" spans="1:30">
      <c r="A25" s="373"/>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row>
    <row r="26" spans="1:30">
      <c r="A26" s="373"/>
      <c r="B26" s="373"/>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row>
    <row r="27" spans="1:30">
      <c r="A27" s="37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row>
    <row r="28" spans="1:30">
      <c r="A28" s="373"/>
      <c r="B28" s="373"/>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row>
    <row r="29" spans="1:30">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row>
    <row r="30" spans="1:30">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row>
    <row r="31" spans="1:30">
      <c r="A31" s="373"/>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row>
    <row r="32" spans="1:30">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row>
    <row r="33" spans="1:30">
      <c r="A33" s="373"/>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row>
    <row r="34" spans="1:30">
      <c r="A34" s="373"/>
      <c r="B34" s="373"/>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row>
    <row r="35" spans="1:30">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row>
    <row r="36" spans="1:30">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row>
    <row r="37" spans="1:30">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row>
  </sheetData>
  <sheetProtection algorithmName="SHA-512" hashValue="6M95DqwrUJOQrtSQVGQv2hm6kDSGWRNWOmJfheEhTqccbnukI9tHqcc+x7QTJpgSiy5cLQTHy0h8lrMfM7W77Q==" saltValue="DfpZJ/61mv4hOqA5gPWgxw==" spinCount="100000" sheet="1" objects="1" scenarios="1" selectLockedCells="1" selectUnlockedCells="1"/>
  <mergeCells count="1">
    <mergeCell ref="A10:E10"/>
  </mergeCells>
  <pageMargins left="0.7" right="0.7" top="0.75" bottom="0.75" header="0.3" footer="0.3"/>
  <pageSetup scale="26"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00"/>
  </sheetPr>
  <dimension ref="A1:BA132"/>
  <sheetViews>
    <sheetView zoomScaleNormal="100" workbookViewId="0">
      <pane xSplit="11" ySplit="25" topLeftCell="L29" activePane="bottomRight" state="frozen"/>
      <selection pane="topRight" activeCell="L1" sqref="L1"/>
      <selection pane="bottomLeft" activeCell="A25" sqref="A25"/>
      <selection pane="bottomRight" activeCell="H36" sqref="H36"/>
    </sheetView>
  </sheetViews>
  <sheetFormatPr defaultColWidth="9" defaultRowHeight="14.4"/>
  <cols>
    <col min="1" max="2" width="9" style="377"/>
    <col min="3" max="40" width="11.6640625" style="377" customWidth="1"/>
    <col min="41" max="16384" width="9" style="377"/>
  </cols>
  <sheetData>
    <row r="1" spans="1:53" s="264" customFormat="1" ht="31.95" customHeight="1">
      <c r="A1" s="636" t="str">
        <f>Contact!A10</f>
        <v>This Fiscal Diagnostic Tool is the intellectual property of Management Partners, intended for the sole and exclusive use of the City of Kenmore, WA. Any redistribution of this model to anyone outside of the City of Kenmore, WA, without the expressed written consent of Management Partners, is strictly prohibited.  © 2020 Management Partners</v>
      </c>
      <c r="B1" s="637"/>
      <c r="C1" s="637"/>
      <c r="D1" s="637"/>
      <c r="E1" s="637"/>
      <c r="F1" s="637"/>
      <c r="G1" s="637"/>
      <c r="H1" s="637"/>
      <c r="I1" s="637"/>
      <c r="J1" s="637"/>
      <c r="K1" s="637"/>
      <c r="L1" s="637"/>
      <c r="M1" s="637"/>
      <c r="N1" s="637"/>
      <c r="O1" s="637"/>
      <c r="P1" s="637"/>
      <c r="Q1" s="637"/>
      <c r="R1" s="637"/>
      <c r="S1" s="244"/>
      <c r="T1" s="244"/>
      <c r="U1" s="244"/>
      <c r="V1" s="244"/>
      <c r="W1" s="244"/>
      <c r="X1" s="244"/>
      <c r="Y1" s="244"/>
      <c r="Z1" s="244"/>
      <c r="AA1" s="244"/>
      <c r="AB1" s="244"/>
      <c r="AC1" s="244"/>
      <c r="AD1" s="244"/>
      <c r="AE1" s="244"/>
      <c r="AF1" s="244"/>
      <c r="AG1" s="244"/>
      <c r="AH1" s="244"/>
      <c r="AI1" s="244"/>
      <c r="AJ1" s="244"/>
      <c r="AK1" s="244"/>
      <c r="AL1" s="244"/>
      <c r="AM1" s="244"/>
      <c r="AN1" s="244"/>
    </row>
    <row r="2" spans="1:53" s="264" customForma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row>
    <row r="3" spans="1:53">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row>
    <row r="4" spans="1:53">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row>
    <row r="5" spans="1:53">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row>
    <row r="6" spans="1:53">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row>
    <row r="7" spans="1:53">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row>
    <row r="8" spans="1:53">
      <c r="A8" s="244"/>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row>
    <row r="9" spans="1:53">
      <c r="A9" s="244"/>
      <c r="B9" s="244"/>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row>
    <row r="10" spans="1:53">
      <c r="A10" s="244"/>
      <c r="B10" s="244"/>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row>
    <row r="11" spans="1:53">
      <c r="A11" s="244"/>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row>
    <row r="12" spans="1:53">
      <c r="A12" s="244"/>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row>
    <row r="13" spans="1:53">
      <c r="A13" s="244"/>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row>
    <row r="14" spans="1:53">
      <c r="A14" s="244"/>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row>
    <row r="15" spans="1:53">
      <c r="A15" s="244"/>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row>
    <row r="16" spans="1:53">
      <c r="A16" s="244"/>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row>
    <row r="17" spans="1:53">
      <c r="A17" s="244"/>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row>
    <row r="18" spans="1:53">
      <c r="A18" s="244"/>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row>
    <row r="19" spans="1:53">
      <c r="A19" s="244"/>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row>
    <row r="20" spans="1:53">
      <c r="A20" s="244"/>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row>
    <row r="21" spans="1:53">
      <c r="A21" s="244"/>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row>
    <row r="22" spans="1:53">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row>
    <row r="23" spans="1:53">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row>
    <row r="24" spans="1:53">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row>
    <row r="25" spans="1:53" ht="17.399999999999999" customHeight="1">
      <c r="A25" s="378" t="s">
        <v>92</v>
      </c>
      <c r="B25" s="379"/>
      <c r="C25" s="380">
        <v>43617</v>
      </c>
      <c r="D25" s="380">
        <v>43647</v>
      </c>
      <c r="E25" s="380">
        <v>43678</v>
      </c>
      <c r="F25" s="380">
        <v>43709</v>
      </c>
      <c r="G25" s="380">
        <v>43739</v>
      </c>
      <c r="H25" s="380">
        <v>43770</v>
      </c>
      <c r="I25" s="380">
        <v>43800</v>
      </c>
      <c r="J25" s="380">
        <v>43831</v>
      </c>
      <c r="K25" s="380">
        <v>43862</v>
      </c>
      <c r="L25" s="380">
        <v>43891</v>
      </c>
      <c r="M25" s="380">
        <v>43922</v>
      </c>
      <c r="N25" s="380">
        <v>43952</v>
      </c>
      <c r="O25" s="380">
        <v>43983</v>
      </c>
      <c r="P25" s="380">
        <v>44013</v>
      </c>
      <c r="Q25" s="380">
        <v>44044</v>
      </c>
      <c r="R25" s="380">
        <v>44075</v>
      </c>
      <c r="S25" s="380">
        <v>44105</v>
      </c>
      <c r="T25" s="380">
        <v>44136</v>
      </c>
      <c r="U25" s="380">
        <v>44166</v>
      </c>
      <c r="V25" s="380">
        <v>44197</v>
      </c>
      <c r="W25" s="380">
        <v>44228</v>
      </c>
      <c r="X25" s="380">
        <v>44256</v>
      </c>
      <c r="Y25" s="380">
        <v>44287</v>
      </c>
      <c r="Z25" s="380">
        <v>44317</v>
      </c>
      <c r="AA25" s="380">
        <v>44348</v>
      </c>
      <c r="AB25" s="380">
        <v>44379</v>
      </c>
      <c r="AC25" s="380">
        <v>44409</v>
      </c>
      <c r="AD25" s="380">
        <v>44440</v>
      </c>
      <c r="AE25" s="380">
        <v>44470</v>
      </c>
      <c r="AF25" s="380">
        <v>44501</v>
      </c>
      <c r="AG25" s="380">
        <v>44531</v>
      </c>
      <c r="AH25" s="380">
        <v>44562</v>
      </c>
      <c r="AI25" s="380">
        <v>44593</v>
      </c>
      <c r="AJ25" s="380">
        <v>44621</v>
      </c>
      <c r="AK25" s="380">
        <v>44652</v>
      </c>
      <c r="AL25" s="380">
        <v>44682</v>
      </c>
      <c r="AM25" s="380">
        <v>44713</v>
      </c>
      <c r="AN25" s="244"/>
      <c r="AO25" s="244"/>
      <c r="AP25" s="244"/>
      <c r="AQ25" s="244"/>
      <c r="AR25" s="244"/>
      <c r="AS25" s="244"/>
      <c r="AT25" s="244"/>
      <c r="AU25" s="244"/>
      <c r="AV25" s="244"/>
      <c r="AW25" s="244"/>
      <c r="AX25" s="244"/>
      <c r="AY25" s="244"/>
      <c r="AZ25" s="244"/>
      <c r="BA25" s="244"/>
    </row>
    <row r="26" spans="1:53">
      <c r="A26" s="377" t="s">
        <v>0</v>
      </c>
      <c r="C26" s="381"/>
      <c r="D26" s="382">
        <f>'Recession Forecast'!$D$3*0.05</f>
        <v>265200</v>
      </c>
      <c r="E26" s="382">
        <f>'Recession Forecast'!$D$3*0.05</f>
        <v>265200</v>
      </c>
      <c r="F26" s="382"/>
      <c r="G26" s="382"/>
      <c r="H26" s="382"/>
      <c r="I26" s="382">
        <f>'Recession Forecast'!$D$3*0.425</f>
        <v>2254200</v>
      </c>
      <c r="J26" s="382"/>
      <c r="K26" s="382"/>
      <c r="L26" s="382"/>
      <c r="M26" s="382">
        <f>'Recession Forecast'!$D$3*0.425</f>
        <v>2254200</v>
      </c>
      <c r="N26" s="382"/>
      <c r="O26" s="382">
        <f>'Recession Forecast'!$D3*0.05</f>
        <v>265200</v>
      </c>
      <c r="P26" s="383">
        <f>'Recession Forecast'!$E$3*0.05</f>
        <v>267374.50739999994</v>
      </c>
      <c r="Q26" s="382">
        <f>'Recession Forecast'!$E$3*0.05</f>
        <v>267374.50739999994</v>
      </c>
      <c r="R26" s="382"/>
      <c r="S26" s="382"/>
      <c r="T26" s="382"/>
      <c r="U26" s="382">
        <f>'Recession Forecast'!$E$3*0.425</f>
        <v>2272683.3128999998</v>
      </c>
      <c r="V26" s="382"/>
      <c r="W26" s="382"/>
      <c r="X26" s="382"/>
      <c r="Y26" s="382">
        <f>'Recession Forecast'!$E$3*0.425</f>
        <v>2272683.3128999998</v>
      </c>
      <c r="Z26" s="382"/>
      <c r="AA26" s="382">
        <f>'Recession Forecast'!$E3*0.05</f>
        <v>267374.50739999994</v>
      </c>
      <c r="AB26" s="383">
        <f>'Recession Forecast'!$F$3*0.05</f>
        <v>271029.94463999994</v>
      </c>
      <c r="AC26" s="382">
        <f>'Recession Forecast'!$F$3*0.05</f>
        <v>271029.94463999994</v>
      </c>
      <c r="AD26" s="382"/>
      <c r="AE26" s="382"/>
      <c r="AF26" s="382"/>
      <c r="AG26" s="382">
        <f>'Recession Forecast'!$F$3*0.425</f>
        <v>2303754.5294399993</v>
      </c>
      <c r="AH26" s="382"/>
      <c r="AI26" s="382"/>
      <c r="AJ26" s="382"/>
      <c r="AK26" s="382">
        <f>'Recession Forecast'!$F$3*0.425</f>
        <v>2303754.5294399993</v>
      </c>
      <c r="AL26" s="382"/>
      <c r="AM26" s="382">
        <f>'Recession Forecast'!$F3*0.05</f>
        <v>271029.94463999994</v>
      </c>
      <c r="AN26" s="244"/>
      <c r="AO26" s="244"/>
      <c r="AP26" s="244"/>
      <c r="AQ26" s="244"/>
      <c r="AR26" s="244"/>
      <c r="AS26" s="244"/>
      <c r="AT26" s="244"/>
      <c r="AU26" s="244"/>
      <c r="AV26" s="244"/>
      <c r="AW26" s="244"/>
      <c r="AX26" s="244"/>
      <c r="AY26" s="244"/>
      <c r="AZ26" s="244"/>
      <c r="BA26" s="244"/>
    </row>
    <row r="27" spans="1:53">
      <c r="A27" s="377" t="s">
        <v>3</v>
      </c>
      <c r="C27" s="381"/>
      <c r="D27" s="382">
        <f>('Recession Forecast'!$D$25-'Recession Forecast'!$D$3-'Recession Forecast'!$D$8)/12</f>
        <v>589021.37666666682</v>
      </c>
      <c r="E27" s="382">
        <f>('Recession Forecast'!$D$25-'Recession Forecast'!$D$3-'Recession Forecast'!$D$8)/12</f>
        <v>589021.37666666682</v>
      </c>
      <c r="F27" s="382">
        <f>('Recession Forecast'!$D$25-'Recession Forecast'!$D$3-'Recession Forecast'!$D$8)/12</f>
        <v>589021.37666666682</v>
      </c>
      <c r="G27" s="382">
        <f>('Recession Forecast'!$D$25-'Recession Forecast'!$D$3-'Recession Forecast'!$D$8)/12</f>
        <v>589021.37666666682</v>
      </c>
      <c r="H27" s="382">
        <f>('Recession Forecast'!$D$25-'Recession Forecast'!$D$3-'Recession Forecast'!$D$8)/12</f>
        <v>589021.37666666682</v>
      </c>
      <c r="I27" s="382">
        <f>('Recession Forecast'!$D$25-'Recession Forecast'!$D$3-'Recession Forecast'!$D$8)/12</f>
        <v>589021.37666666682</v>
      </c>
      <c r="J27" s="382">
        <f>('Recession Forecast'!$D$25-'Recession Forecast'!$D$3-'Recession Forecast'!$D$8)/12</f>
        <v>589021.37666666682</v>
      </c>
      <c r="K27" s="382">
        <f>('Recession Forecast'!$D$25-'Recession Forecast'!$D$3-'Recession Forecast'!$D$8)/12</f>
        <v>589021.37666666682</v>
      </c>
      <c r="L27" s="382">
        <f>('Recession Forecast'!$D$25-'Recession Forecast'!$D$3-'Recession Forecast'!$D$8)/12</f>
        <v>589021.37666666682</v>
      </c>
      <c r="M27" s="382">
        <f>('Recession Forecast'!$D$25-'Recession Forecast'!$D$3-'Recession Forecast'!$D$8)/12</f>
        <v>589021.37666666682</v>
      </c>
      <c r="N27" s="382">
        <f>('Recession Forecast'!$D$25-'Recession Forecast'!$D$3-'Recession Forecast'!$D$8)/12</f>
        <v>589021.37666666682</v>
      </c>
      <c r="O27" s="382">
        <f>('Recession Forecast'!$D$25-'Recession Forecast'!$D$3-'Recession Forecast'!$D$8)/12</f>
        <v>589021.37666666682</v>
      </c>
      <c r="P27" s="383" t="e">
        <f>('Recession Forecast'!$E$25-'Recession Forecast'!$E$3-'Recession Forecast'!$E$8-'Recession Forecast'!#REF!)/12</f>
        <v>#REF!</v>
      </c>
      <c r="Q27" s="384" t="e">
        <f>('Recession Forecast'!$E$25-'Recession Forecast'!$E$3-'Recession Forecast'!$E$8-'Recession Forecast'!#REF!)/12</f>
        <v>#REF!</v>
      </c>
      <c r="R27" s="384" t="e">
        <f>('Recession Forecast'!$E$25-'Recession Forecast'!$E$3-'Recession Forecast'!$E$8-'Recession Forecast'!#REF!)/12</f>
        <v>#REF!</v>
      </c>
      <c r="S27" s="384" t="e">
        <f>('Recession Forecast'!$E$25-'Recession Forecast'!$E$3-'Recession Forecast'!$E$8-'Recession Forecast'!#REF!)/12</f>
        <v>#REF!</v>
      </c>
      <c r="T27" s="384" t="e">
        <f>('Recession Forecast'!$E$25-'Recession Forecast'!$E$3-'Recession Forecast'!$E$8-'Recession Forecast'!#REF!)/12</f>
        <v>#REF!</v>
      </c>
      <c r="U27" s="384" t="e">
        <f>('Recession Forecast'!$E$25-'Recession Forecast'!$E$3-'Recession Forecast'!$E$8-'Recession Forecast'!#REF!)/12</f>
        <v>#REF!</v>
      </c>
      <c r="V27" s="384" t="e">
        <f>('Recession Forecast'!$E$25-'Recession Forecast'!$E$3-'Recession Forecast'!$E$8-'Recession Forecast'!#REF!)/12</f>
        <v>#REF!</v>
      </c>
      <c r="W27" s="384" t="e">
        <f>('Recession Forecast'!$E$25-'Recession Forecast'!$E$3-'Recession Forecast'!$E$8-'Recession Forecast'!#REF!)/12</f>
        <v>#REF!</v>
      </c>
      <c r="X27" s="384" t="e">
        <f>('Recession Forecast'!$E$25-'Recession Forecast'!$E$3-'Recession Forecast'!$E$8-'Recession Forecast'!#REF!)/12</f>
        <v>#REF!</v>
      </c>
      <c r="Y27" s="384" t="e">
        <f>('Recession Forecast'!$E$25-'Recession Forecast'!$E$3-'Recession Forecast'!$E$8-'Recession Forecast'!#REF!)/12</f>
        <v>#REF!</v>
      </c>
      <c r="Z27" s="384" t="e">
        <f>('Recession Forecast'!$E$25-'Recession Forecast'!$E$3-'Recession Forecast'!$E$8-'Recession Forecast'!#REF!)/12</f>
        <v>#REF!</v>
      </c>
      <c r="AA27" s="384" t="e">
        <f>('Recession Forecast'!$E$25-'Recession Forecast'!$E$3-'Recession Forecast'!$E$8-'Recession Forecast'!#REF!)/12</f>
        <v>#REF!</v>
      </c>
      <c r="AB27" s="383" t="e">
        <f>('Recession Forecast'!$F$25-'Recession Forecast'!$F$3-'Recession Forecast'!$F$8-'Recession Forecast'!#REF!)/12</f>
        <v>#REF!</v>
      </c>
      <c r="AC27" s="384" t="e">
        <f>('Recession Forecast'!$F$25-'Recession Forecast'!$F$3-'Recession Forecast'!$F$8-'Recession Forecast'!#REF!)/12</f>
        <v>#REF!</v>
      </c>
      <c r="AD27" s="384" t="e">
        <f>('Recession Forecast'!$F$25-'Recession Forecast'!$F$3-'Recession Forecast'!$F$8-'Recession Forecast'!#REF!)/12</f>
        <v>#REF!</v>
      </c>
      <c r="AE27" s="384" t="e">
        <f>('Recession Forecast'!$F$25-'Recession Forecast'!$F$3-'Recession Forecast'!$F$8-'Recession Forecast'!#REF!)/12</f>
        <v>#REF!</v>
      </c>
      <c r="AF27" s="384" t="e">
        <f>('Recession Forecast'!$F$25-'Recession Forecast'!$F$3-'Recession Forecast'!$F$8-'Recession Forecast'!#REF!)/12</f>
        <v>#REF!</v>
      </c>
      <c r="AG27" s="384" t="e">
        <f>('Recession Forecast'!$F$25-'Recession Forecast'!$F$3-'Recession Forecast'!$F$8-'Recession Forecast'!#REF!)/12</f>
        <v>#REF!</v>
      </c>
      <c r="AH27" s="384" t="e">
        <f>('Recession Forecast'!$F$25-'Recession Forecast'!$F$3-'Recession Forecast'!$F$8-'Recession Forecast'!#REF!)/12</f>
        <v>#REF!</v>
      </c>
      <c r="AI27" s="384" t="e">
        <f>('Recession Forecast'!$F$25-'Recession Forecast'!$F$3-'Recession Forecast'!$F$8-'Recession Forecast'!#REF!)/12</f>
        <v>#REF!</v>
      </c>
      <c r="AJ27" s="384" t="e">
        <f>('Recession Forecast'!$F$25-'Recession Forecast'!$F$3-'Recession Forecast'!$F$8-'Recession Forecast'!#REF!)/12</f>
        <v>#REF!</v>
      </c>
      <c r="AK27" s="384" t="e">
        <f>('Recession Forecast'!$F$25-'Recession Forecast'!$F$3-'Recession Forecast'!$F$8-'Recession Forecast'!#REF!)/12</f>
        <v>#REF!</v>
      </c>
      <c r="AL27" s="384" t="e">
        <f>('Recession Forecast'!$F$25-'Recession Forecast'!$F$3-'Recession Forecast'!$F$8-'Recession Forecast'!#REF!)/12</f>
        <v>#REF!</v>
      </c>
      <c r="AM27" s="384" t="e">
        <f>('Recession Forecast'!$F$25-'Recession Forecast'!$F$3-'Recession Forecast'!$F$8-'Recession Forecast'!#REF!)/12</f>
        <v>#REF!</v>
      </c>
      <c r="AN27" s="244"/>
      <c r="AO27" s="244"/>
      <c r="AP27" s="244"/>
      <c r="AQ27" s="244"/>
      <c r="AR27" s="244"/>
      <c r="AS27" s="244"/>
      <c r="AT27" s="244"/>
      <c r="AU27" s="244"/>
      <c r="AV27" s="244"/>
      <c r="AW27" s="244"/>
      <c r="AX27" s="244"/>
      <c r="AY27" s="244"/>
      <c r="AZ27" s="244"/>
      <c r="BA27" s="244"/>
    </row>
    <row r="28" spans="1:53">
      <c r="A28" s="377" t="s">
        <v>93</v>
      </c>
      <c r="C28" s="381"/>
      <c r="D28" s="382"/>
      <c r="E28" s="382"/>
      <c r="F28" s="382"/>
      <c r="G28" s="382"/>
      <c r="H28" s="382"/>
      <c r="I28" s="382"/>
      <c r="J28" s="382"/>
      <c r="K28" s="382"/>
      <c r="L28" s="382"/>
      <c r="M28" s="382"/>
      <c r="N28" s="382"/>
      <c r="O28" s="382"/>
      <c r="P28" s="383">
        <v>0</v>
      </c>
      <c r="Q28" s="382">
        <v>0</v>
      </c>
      <c r="R28" s="382">
        <v>0</v>
      </c>
      <c r="S28" s="382">
        <v>0</v>
      </c>
      <c r="T28" s="382">
        <v>0</v>
      </c>
      <c r="U28" s="382">
        <v>0</v>
      </c>
      <c r="V28" s="382">
        <v>0</v>
      </c>
      <c r="W28" s="382">
        <v>0</v>
      </c>
      <c r="X28" s="382">
        <v>0</v>
      </c>
      <c r="Y28" s="382" t="e">
        <f>IF(AND('Recession Forecast'!#REF!=0,'Recession Forecast'!#REF!&gt;0),'Recession Forecast'!#REF!/3,0)</f>
        <v>#REF!</v>
      </c>
      <c r="Z28" s="382" t="e">
        <f>IF(AND('Recession Forecast'!#REF!=0,'Recession Forecast'!#REF!&gt;0),'Recession Forecast'!#REF!/3,0)</f>
        <v>#REF!</v>
      </c>
      <c r="AA28" s="382" t="e">
        <f>IF(AND('Recession Forecast'!#REF!=0,'Recession Forecast'!#REF!&gt;0),'Recession Forecast'!#REF!/3,0)</f>
        <v>#REF!</v>
      </c>
      <c r="AB28" s="383" t="e">
        <f>IF(AND('Recession Forecast'!#REF!=0,'Recession Forecast'!#REF!&gt;0),'Recession Forecast'!#REF!/12,0)</f>
        <v>#REF!</v>
      </c>
      <c r="AC28" s="384" t="e">
        <f>IF(AND('Recession Forecast'!#REF!=0,'Recession Forecast'!#REF!&gt;0),'Recession Forecast'!#REF!/12,0)</f>
        <v>#REF!</v>
      </c>
      <c r="AD28" s="384" t="e">
        <f>IF(AND('Recession Forecast'!#REF!=0,'Recession Forecast'!#REF!&gt;0),'Recession Forecast'!#REF!/12,0)</f>
        <v>#REF!</v>
      </c>
      <c r="AE28" s="384" t="e">
        <f>IF(AND('Recession Forecast'!#REF!=0,'Recession Forecast'!#REF!&gt;0),'Recession Forecast'!#REF!/12,0)</f>
        <v>#REF!</v>
      </c>
      <c r="AF28" s="384" t="e">
        <f>IF(AND('Recession Forecast'!#REF!=0,'Recession Forecast'!#REF!&gt;0),'Recession Forecast'!#REF!/12,0)</f>
        <v>#REF!</v>
      </c>
      <c r="AG28" s="384" t="e">
        <f>IF(AND('Recession Forecast'!#REF!=0,'Recession Forecast'!#REF!&gt;0),'Recession Forecast'!#REF!/12,0)</f>
        <v>#REF!</v>
      </c>
      <c r="AH28" s="384" t="e">
        <f>IF(AND('Recession Forecast'!#REF!=0,'Recession Forecast'!#REF!&gt;0),'Recession Forecast'!#REF!/12,0)</f>
        <v>#REF!</v>
      </c>
      <c r="AI28" s="384" t="e">
        <f>IF(AND('Recession Forecast'!#REF!=0,'Recession Forecast'!#REF!&gt;0),'Recession Forecast'!#REF!/12,0)</f>
        <v>#REF!</v>
      </c>
      <c r="AJ28" s="384" t="e">
        <f>IF(AND('Recession Forecast'!#REF!=0,'Recession Forecast'!#REF!&gt;0),'Recession Forecast'!#REF!/12,0)</f>
        <v>#REF!</v>
      </c>
      <c r="AK28" s="385" t="e">
        <f>IF(AND('Recession Forecast'!#REF!=0,'Recession Forecast'!#REF!&gt;0),'Recession Forecast'!#REF!/12,0)+IF(AND('Recession Forecast'!#REF!=0,'Recession Forecast'!#REF!&gt;0),'Recession Forecast'!#REF!/12,0)</f>
        <v>#REF!</v>
      </c>
      <c r="AL28" s="385" t="e">
        <f>IF(AND('Recession Forecast'!#REF!=0,'Recession Forecast'!#REF!&gt;0),'Recession Forecast'!#REF!/12,0)+IF(AND('Recession Forecast'!#REF!=0,'Recession Forecast'!#REF!&gt;0),'Recession Forecast'!#REF!/12,0)</f>
        <v>#REF!</v>
      </c>
      <c r="AM28" s="385" t="e">
        <f>IF(AND('Recession Forecast'!#REF!=0,'Recession Forecast'!#REF!&gt;0),'Recession Forecast'!#REF!/12,0)+IF(AND('Recession Forecast'!#REF!=0,'Recession Forecast'!#REF!&gt;0),'Recession Forecast'!#REF!/12,0)</f>
        <v>#REF!</v>
      </c>
      <c r="AN28" s="244"/>
      <c r="AO28" s="244"/>
      <c r="AP28" s="244"/>
      <c r="AQ28" s="244"/>
      <c r="AR28" s="244"/>
      <c r="AS28" s="244"/>
      <c r="AT28" s="244"/>
      <c r="AU28" s="244"/>
      <c r="AV28" s="244"/>
      <c r="AW28" s="244"/>
      <c r="AX28" s="244"/>
      <c r="AY28" s="244"/>
      <c r="AZ28" s="244"/>
      <c r="BA28" s="244"/>
    </row>
    <row r="29" spans="1:53">
      <c r="A29" s="377" t="s">
        <v>79</v>
      </c>
      <c r="C29" s="381"/>
      <c r="D29" s="382"/>
      <c r="E29" s="382"/>
      <c r="F29" s="382"/>
      <c r="G29" s="382"/>
      <c r="H29" s="382"/>
      <c r="I29" s="382"/>
      <c r="J29" s="382">
        <f>'Recession Forecast'!$D$8</f>
        <v>68400</v>
      </c>
      <c r="K29" s="382"/>
      <c r="L29" s="382"/>
      <c r="M29" s="382"/>
      <c r="N29" s="382"/>
      <c r="O29" s="382"/>
      <c r="P29" s="383"/>
      <c r="Q29" s="382"/>
      <c r="R29" s="382"/>
      <c r="S29" s="382"/>
      <c r="T29" s="382"/>
      <c r="U29" s="382"/>
      <c r="V29" s="382">
        <f>'Recession Forecast'!$E$8</f>
        <v>67847.760000000009</v>
      </c>
      <c r="W29" s="382"/>
      <c r="X29" s="382"/>
      <c r="Y29" s="382"/>
      <c r="Z29" s="382"/>
      <c r="AA29" s="382"/>
      <c r="AB29" s="383"/>
      <c r="AC29" s="382"/>
      <c r="AD29" s="382"/>
      <c r="AE29" s="382"/>
      <c r="AF29" s="382"/>
      <c r="AG29" s="382"/>
      <c r="AH29" s="382">
        <f>'Recession Forecast'!$F$8</f>
        <v>70509.311999999991</v>
      </c>
      <c r="AI29" s="382"/>
      <c r="AJ29" s="382"/>
      <c r="AK29" s="382"/>
      <c r="AL29" s="382"/>
      <c r="AM29" s="382"/>
      <c r="AN29" s="244"/>
      <c r="AO29" s="244"/>
      <c r="AP29" s="244"/>
      <c r="AQ29" s="244"/>
      <c r="AR29" s="244"/>
      <c r="AS29" s="244"/>
      <c r="AT29" s="244"/>
      <c r="AU29" s="244"/>
      <c r="AV29" s="244"/>
      <c r="AW29" s="244"/>
      <c r="AX29" s="244"/>
      <c r="AY29" s="244"/>
      <c r="AZ29" s="244"/>
      <c r="BA29" s="244"/>
    </row>
    <row r="30" spans="1:53" ht="15" thickBot="1">
      <c r="A30" s="377" t="s">
        <v>80</v>
      </c>
      <c r="C30" s="381"/>
      <c r="D30" s="386">
        <f>-'Recession Forecast'!$D$35/12</f>
        <v>-1134200.405</v>
      </c>
      <c r="E30" s="386">
        <f>-'Recession Forecast'!$D$35/12</f>
        <v>-1134200.405</v>
      </c>
      <c r="F30" s="386">
        <f>-'Recession Forecast'!$D$35/12</f>
        <v>-1134200.405</v>
      </c>
      <c r="G30" s="386">
        <f>-'Recession Forecast'!$D$35/12</f>
        <v>-1134200.405</v>
      </c>
      <c r="H30" s="386">
        <f>-'Recession Forecast'!$D$35/12</f>
        <v>-1134200.405</v>
      </c>
      <c r="I30" s="386">
        <f>-'Recession Forecast'!$D$35/12</f>
        <v>-1134200.405</v>
      </c>
      <c r="J30" s="386">
        <f>-'Recession Forecast'!$D$35/12</f>
        <v>-1134200.405</v>
      </c>
      <c r="K30" s="386">
        <f>-'Recession Forecast'!$D$35/12</f>
        <v>-1134200.405</v>
      </c>
      <c r="L30" s="386">
        <f>-'Recession Forecast'!$D$35/12</f>
        <v>-1134200.405</v>
      </c>
      <c r="M30" s="386">
        <f>-'Recession Forecast'!$D$35/12</f>
        <v>-1134200.405</v>
      </c>
      <c r="N30" s="386">
        <f>-'Recession Forecast'!$D$35/12</f>
        <v>-1134200.405</v>
      </c>
      <c r="O30" s="386">
        <f>-'Recession Forecast'!$D$35/12</f>
        <v>-1134200.405</v>
      </c>
      <c r="P30" s="387">
        <f>-'Recession Forecast'!$E$35/12</f>
        <v>-711997.87096666649</v>
      </c>
      <c r="Q30" s="386">
        <f>-'Recession Forecast'!$E$35/12</f>
        <v>-711997.87096666649</v>
      </c>
      <c r="R30" s="386">
        <f>-'Recession Forecast'!$E$35/12</f>
        <v>-711997.87096666649</v>
      </c>
      <c r="S30" s="386">
        <f>-'Recession Forecast'!$E$35/12</f>
        <v>-711997.87096666649</v>
      </c>
      <c r="T30" s="386">
        <f>-'Recession Forecast'!$E$35/12</f>
        <v>-711997.87096666649</v>
      </c>
      <c r="U30" s="386">
        <f>-'Recession Forecast'!$E$35/12</f>
        <v>-711997.87096666649</v>
      </c>
      <c r="V30" s="386">
        <f>-'Recession Forecast'!$E$35/12</f>
        <v>-711997.87096666649</v>
      </c>
      <c r="W30" s="386">
        <f>-'Recession Forecast'!$E$35/12</f>
        <v>-711997.87096666649</v>
      </c>
      <c r="X30" s="386">
        <f>-'Recession Forecast'!$E$35/12</f>
        <v>-711997.87096666649</v>
      </c>
      <c r="Y30" s="386">
        <f>-'Recession Forecast'!$E$35/12</f>
        <v>-711997.87096666649</v>
      </c>
      <c r="Z30" s="386">
        <f>-'Recession Forecast'!$E$35/12</f>
        <v>-711997.87096666649</v>
      </c>
      <c r="AA30" s="386">
        <f>-'Recession Forecast'!$E$35/12</f>
        <v>-711997.87096666649</v>
      </c>
      <c r="AB30" s="387">
        <f>-'Recession Forecast'!$F$35/12</f>
        <v>-1165336.68127192</v>
      </c>
      <c r="AC30" s="386">
        <f>-'Recession Forecast'!$F$35/12</f>
        <v>-1165336.68127192</v>
      </c>
      <c r="AD30" s="386">
        <f>-'Recession Forecast'!$F$35/12</f>
        <v>-1165336.68127192</v>
      </c>
      <c r="AE30" s="386">
        <f>-'Recession Forecast'!$F$35/12</f>
        <v>-1165336.68127192</v>
      </c>
      <c r="AF30" s="386">
        <f>-'Recession Forecast'!$F$35/12</f>
        <v>-1165336.68127192</v>
      </c>
      <c r="AG30" s="386">
        <f>-'Recession Forecast'!$F$35/12</f>
        <v>-1165336.68127192</v>
      </c>
      <c r="AH30" s="386">
        <f>-'Recession Forecast'!$F$35/12</f>
        <v>-1165336.68127192</v>
      </c>
      <c r="AI30" s="386">
        <f>-'Recession Forecast'!$F$35/12</f>
        <v>-1165336.68127192</v>
      </c>
      <c r="AJ30" s="386">
        <f>-'Recession Forecast'!$F$35/12</f>
        <v>-1165336.68127192</v>
      </c>
      <c r="AK30" s="386">
        <f>-'Recession Forecast'!$F$35/12</f>
        <v>-1165336.68127192</v>
      </c>
      <c r="AL30" s="386">
        <f>-'Recession Forecast'!$F$35/12</f>
        <v>-1165336.68127192</v>
      </c>
      <c r="AM30" s="386">
        <f>-'Recession Forecast'!$F$35/12</f>
        <v>-1165336.68127192</v>
      </c>
      <c r="AN30" s="244"/>
      <c r="AO30" s="244"/>
      <c r="AP30" s="244"/>
      <c r="AQ30" s="244"/>
      <c r="AR30" s="244"/>
      <c r="AS30" s="244"/>
      <c r="AT30" s="244"/>
      <c r="AU30" s="244"/>
      <c r="AV30" s="244"/>
      <c r="AW30" s="244"/>
      <c r="AX30" s="244"/>
      <c r="AY30" s="244"/>
      <c r="AZ30" s="244"/>
      <c r="BA30" s="244"/>
    </row>
    <row r="31" spans="1:53">
      <c r="A31" s="377" t="s">
        <v>81</v>
      </c>
      <c r="C31" s="388" t="s">
        <v>75</v>
      </c>
      <c r="D31" s="381">
        <f t="shared" ref="D31:AM31" si="0">SUM(D26:D30)</f>
        <v>-279979.0283333332</v>
      </c>
      <c r="E31" s="381">
        <f t="shared" si="0"/>
        <v>-279979.0283333332</v>
      </c>
      <c r="F31" s="381">
        <f t="shared" si="0"/>
        <v>-545179.0283333332</v>
      </c>
      <c r="G31" s="381">
        <f t="shared" si="0"/>
        <v>-545179.0283333332</v>
      </c>
      <c r="H31" s="381">
        <f t="shared" si="0"/>
        <v>-545179.0283333332</v>
      </c>
      <c r="I31" s="381">
        <f t="shared" si="0"/>
        <v>1709020.9716666669</v>
      </c>
      <c r="J31" s="381">
        <f t="shared" si="0"/>
        <v>-476779.0283333332</v>
      </c>
      <c r="K31" s="381">
        <f t="shared" si="0"/>
        <v>-545179.0283333332</v>
      </c>
      <c r="L31" s="381">
        <f t="shared" si="0"/>
        <v>-545179.0283333332</v>
      </c>
      <c r="M31" s="381">
        <f t="shared" si="0"/>
        <v>1709020.9716666669</v>
      </c>
      <c r="N31" s="381">
        <f t="shared" si="0"/>
        <v>-545179.0283333332</v>
      </c>
      <c r="O31" s="381">
        <f t="shared" si="0"/>
        <v>-279979.0283333332</v>
      </c>
      <c r="P31" s="389" t="e">
        <f t="shared" si="0"/>
        <v>#REF!</v>
      </c>
      <c r="Q31" s="381" t="e">
        <f t="shared" si="0"/>
        <v>#REF!</v>
      </c>
      <c r="R31" s="381" t="e">
        <f t="shared" si="0"/>
        <v>#REF!</v>
      </c>
      <c r="S31" s="381" t="e">
        <f t="shared" si="0"/>
        <v>#REF!</v>
      </c>
      <c r="T31" s="381" t="e">
        <f t="shared" si="0"/>
        <v>#REF!</v>
      </c>
      <c r="U31" s="381" t="e">
        <f t="shared" si="0"/>
        <v>#REF!</v>
      </c>
      <c r="V31" s="381" t="e">
        <f t="shared" si="0"/>
        <v>#REF!</v>
      </c>
      <c r="W31" s="381" t="e">
        <f t="shared" si="0"/>
        <v>#REF!</v>
      </c>
      <c r="X31" s="381" t="e">
        <f t="shared" si="0"/>
        <v>#REF!</v>
      </c>
      <c r="Y31" s="381" t="e">
        <f t="shared" si="0"/>
        <v>#REF!</v>
      </c>
      <c r="Z31" s="381" t="e">
        <f t="shared" si="0"/>
        <v>#REF!</v>
      </c>
      <c r="AA31" s="381" t="e">
        <f t="shared" si="0"/>
        <v>#REF!</v>
      </c>
      <c r="AB31" s="389" t="e">
        <f t="shared" si="0"/>
        <v>#REF!</v>
      </c>
      <c r="AC31" s="381" t="e">
        <f t="shared" si="0"/>
        <v>#REF!</v>
      </c>
      <c r="AD31" s="381" t="e">
        <f t="shared" si="0"/>
        <v>#REF!</v>
      </c>
      <c r="AE31" s="381" t="e">
        <f t="shared" si="0"/>
        <v>#REF!</v>
      </c>
      <c r="AF31" s="381" t="e">
        <f t="shared" si="0"/>
        <v>#REF!</v>
      </c>
      <c r="AG31" s="381" t="e">
        <f t="shared" si="0"/>
        <v>#REF!</v>
      </c>
      <c r="AH31" s="381" t="e">
        <f t="shared" si="0"/>
        <v>#REF!</v>
      </c>
      <c r="AI31" s="381" t="e">
        <f t="shared" si="0"/>
        <v>#REF!</v>
      </c>
      <c r="AJ31" s="381" t="e">
        <f t="shared" si="0"/>
        <v>#REF!</v>
      </c>
      <c r="AK31" s="381" t="e">
        <f t="shared" si="0"/>
        <v>#REF!</v>
      </c>
      <c r="AL31" s="381" t="e">
        <f t="shared" si="0"/>
        <v>#REF!</v>
      </c>
      <c r="AM31" s="381" t="e">
        <f t="shared" si="0"/>
        <v>#REF!</v>
      </c>
      <c r="AN31" s="244"/>
      <c r="AO31" s="244"/>
      <c r="AP31" s="244"/>
      <c r="AQ31" s="244"/>
      <c r="AR31" s="244"/>
      <c r="AS31" s="244"/>
      <c r="AT31" s="244"/>
      <c r="AU31" s="244"/>
      <c r="AV31" s="244"/>
      <c r="AW31" s="244"/>
      <c r="AX31" s="244"/>
      <c r="AY31" s="244"/>
      <c r="AZ31" s="244"/>
      <c r="BA31" s="244"/>
    </row>
    <row r="32" spans="1:53" ht="15" thickBot="1">
      <c r="A32" s="377" t="s">
        <v>82</v>
      </c>
      <c r="C32" s="390">
        <f>'Recession Forecast'!D56</f>
        <v>3500000</v>
      </c>
      <c r="D32" s="391">
        <f t="shared" ref="D32:AM32" si="1">C32+D31</f>
        <v>3220020.9716666667</v>
      </c>
      <c r="E32" s="391">
        <f t="shared" si="1"/>
        <v>2940041.9433333334</v>
      </c>
      <c r="F32" s="391">
        <f t="shared" si="1"/>
        <v>2394862.915</v>
      </c>
      <c r="G32" s="391">
        <f t="shared" si="1"/>
        <v>1849683.8866666667</v>
      </c>
      <c r="H32" s="391">
        <f t="shared" si="1"/>
        <v>1304504.8583333334</v>
      </c>
      <c r="I32" s="391">
        <f t="shared" si="1"/>
        <v>3013525.83</v>
      </c>
      <c r="J32" s="391">
        <f t="shared" si="1"/>
        <v>2536746.8016666668</v>
      </c>
      <c r="K32" s="391">
        <f t="shared" si="1"/>
        <v>1991567.7733333334</v>
      </c>
      <c r="L32" s="391">
        <f t="shared" si="1"/>
        <v>1446388.7450000001</v>
      </c>
      <c r="M32" s="391">
        <f t="shared" si="1"/>
        <v>3155409.7166666668</v>
      </c>
      <c r="N32" s="391">
        <f t="shared" si="1"/>
        <v>2610230.6883333335</v>
      </c>
      <c r="O32" s="391">
        <f t="shared" si="1"/>
        <v>2330251.66</v>
      </c>
      <c r="P32" s="392" t="e">
        <f t="shared" si="1"/>
        <v>#REF!</v>
      </c>
      <c r="Q32" s="391" t="e">
        <f t="shared" si="1"/>
        <v>#REF!</v>
      </c>
      <c r="R32" s="391" t="e">
        <f t="shared" si="1"/>
        <v>#REF!</v>
      </c>
      <c r="S32" s="391" t="e">
        <f t="shared" si="1"/>
        <v>#REF!</v>
      </c>
      <c r="T32" s="391" t="e">
        <f t="shared" si="1"/>
        <v>#REF!</v>
      </c>
      <c r="U32" s="391" t="e">
        <f t="shared" si="1"/>
        <v>#REF!</v>
      </c>
      <c r="V32" s="391" t="e">
        <f t="shared" si="1"/>
        <v>#REF!</v>
      </c>
      <c r="W32" s="391" t="e">
        <f t="shared" si="1"/>
        <v>#REF!</v>
      </c>
      <c r="X32" s="391" t="e">
        <f t="shared" si="1"/>
        <v>#REF!</v>
      </c>
      <c r="Y32" s="391" t="e">
        <f t="shared" si="1"/>
        <v>#REF!</v>
      </c>
      <c r="Z32" s="391" t="e">
        <f t="shared" si="1"/>
        <v>#REF!</v>
      </c>
      <c r="AA32" s="391" t="e">
        <f t="shared" si="1"/>
        <v>#REF!</v>
      </c>
      <c r="AB32" s="392" t="e">
        <f t="shared" si="1"/>
        <v>#REF!</v>
      </c>
      <c r="AC32" s="391" t="e">
        <f t="shared" si="1"/>
        <v>#REF!</v>
      </c>
      <c r="AD32" s="391" t="e">
        <f t="shared" si="1"/>
        <v>#REF!</v>
      </c>
      <c r="AE32" s="391" t="e">
        <f t="shared" si="1"/>
        <v>#REF!</v>
      </c>
      <c r="AF32" s="391" t="e">
        <f t="shared" si="1"/>
        <v>#REF!</v>
      </c>
      <c r="AG32" s="391" t="e">
        <f t="shared" si="1"/>
        <v>#REF!</v>
      </c>
      <c r="AH32" s="391" t="e">
        <f t="shared" si="1"/>
        <v>#REF!</v>
      </c>
      <c r="AI32" s="391" t="e">
        <f t="shared" si="1"/>
        <v>#REF!</v>
      </c>
      <c r="AJ32" s="391" t="e">
        <f t="shared" si="1"/>
        <v>#REF!</v>
      </c>
      <c r="AK32" s="391" t="e">
        <f t="shared" si="1"/>
        <v>#REF!</v>
      </c>
      <c r="AL32" s="391" t="e">
        <f t="shared" si="1"/>
        <v>#REF!</v>
      </c>
      <c r="AM32" s="391" t="e">
        <f t="shared" si="1"/>
        <v>#REF!</v>
      </c>
      <c r="AN32" s="244"/>
      <c r="AO32" s="244"/>
      <c r="AP32" s="244"/>
      <c r="AQ32" s="244"/>
      <c r="AR32" s="244"/>
      <c r="AS32" s="244"/>
      <c r="AT32" s="244"/>
      <c r="AU32" s="244"/>
      <c r="AV32" s="244"/>
      <c r="AW32" s="244"/>
      <c r="AX32" s="244"/>
      <c r="AY32" s="244"/>
      <c r="AZ32" s="244"/>
      <c r="BA32" s="244"/>
    </row>
    <row r="33" spans="1:53" ht="15" thickBot="1">
      <c r="A33" s="377" t="s">
        <v>83</v>
      </c>
      <c r="C33" s="381"/>
      <c r="D33" s="393">
        <f t="shared" ref="D33:AM33" si="2">D31/$O35+C33</f>
        <v>0.23934979752425514</v>
      </c>
      <c r="E33" s="393">
        <f t="shared" si="2"/>
        <v>0.47869959504851028</v>
      </c>
      <c r="F33" s="393">
        <f t="shared" si="2"/>
        <v>0.9447648243723954</v>
      </c>
      <c r="G33" s="393">
        <f t="shared" si="2"/>
        <v>1.4108300536962806</v>
      </c>
      <c r="H33" s="393">
        <f t="shared" si="2"/>
        <v>1.8768952830201657</v>
      </c>
      <c r="I33" s="393">
        <f t="shared" si="2"/>
        <v>0.41587934204719623</v>
      </c>
      <c r="J33" s="393">
        <f t="shared" si="2"/>
        <v>0.8234704554770591</v>
      </c>
      <c r="K33" s="393">
        <f t="shared" si="2"/>
        <v>1.2895356848009443</v>
      </c>
      <c r="L33" s="393">
        <f t="shared" si="2"/>
        <v>1.7556009141248294</v>
      </c>
      <c r="M33" s="393">
        <f t="shared" si="2"/>
        <v>0.29458497315185994</v>
      </c>
      <c r="N33" s="393">
        <f t="shared" si="2"/>
        <v>0.76065020247574511</v>
      </c>
      <c r="O33" s="393">
        <f t="shared" si="2"/>
        <v>1.0000000000000002</v>
      </c>
      <c r="P33" s="394" t="e">
        <f t="shared" si="2"/>
        <v>#REF!</v>
      </c>
      <c r="Q33" s="393" t="e">
        <f t="shared" si="2"/>
        <v>#REF!</v>
      </c>
      <c r="R33" s="393" t="e">
        <f t="shared" si="2"/>
        <v>#REF!</v>
      </c>
      <c r="S33" s="393" t="e">
        <f t="shared" si="2"/>
        <v>#REF!</v>
      </c>
      <c r="T33" s="393" t="e">
        <f t="shared" si="2"/>
        <v>#REF!</v>
      </c>
      <c r="U33" s="393" t="e">
        <f t="shared" si="2"/>
        <v>#REF!</v>
      </c>
      <c r="V33" s="393" t="e">
        <f t="shared" si="2"/>
        <v>#REF!</v>
      </c>
      <c r="W33" s="393" t="e">
        <f t="shared" si="2"/>
        <v>#REF!</v>
      </c>
      <c r="X33" s="393" t="e">
        <f t="shared" si="2"/>
        <v>#REF!</v>
      </c>
      <c r="Y33" s="393" t="e">
        <f t="shared" si="2"/>
        <v>#REF!</v>
      </c>
      <c r="Z33" s="393" t="e">
        <f t="shared" si="2"/>
        <v>#REF!</v>
      </c>
      <c r="AA33" s="393" t="e">
        <f t="shared" si="2"/>
        <v>#REF!</v>
      </c>
      <c r="AB33" s="394" t="e">
        <f t="shared" si="2"/>
        <v>#REF!</v>
      </c>
      <c r="AC33" s="393" t="e">
        <f t="shared" si="2"/>
        <v>#REF!</v>
      </c>
      <c r="AD33" s="393" t="e">
        <f t="shared" si="2"/>
        <v>#REF!</v>
      </c>
      <c r="AE33" s="393" t="e">
        <f t="shared" si="2"/>
        <v>#REF!</v>
      </c>
      <c r="AF33" s="393" t="e">
        <f t="shared" si="2"/>
        <v>#REF!</v>
      </c>
      <c r="AG33" s="393" t="e">
        <f t="shared" si="2"/>
        <v>#REF!</v>
      </c>
      <c r="AH33" s="393" t="e">
        <f t="shared" si="2"/>
        <v>#REF!</v>
      </c>
      <c r="AI33" s="393" t="e">
        <f t="shared" si="2"/>
        <v>#REF!</v>
      </c>
      <c r="AJ33" s="393" t="e">
        <f t="shared" si="2"/>
        <v>#REF!</v>
      </c>
      <c r="AK33" s="393" t="e">
        <f t="shared" si="2"/>
        <v>#REF!</v>
      </c>
      <c r="AL33" s="393" t="e">
        <f t="shared" si="2"/>
        <v>#REF!</v>
      </c>
      <c r="AM33" s="393" t="e">
        <f t="shared" si="2"/>
        <v>#REF!</v>
      </c>
      <c r="AN33" s="244"/>
      <c r="AO33" s="244"/>
      <c r="AP33" s="244"/>
      <c r="AQ33" s="244"/>
      <c r="AR33" s="244"/>
      <c r="AS33" s="244"/>
      <c r="AT33" s="244"/>
      <c r="AU33" s="244"/>
      <c r="AV33" s="244"/>
      <c r="AW33" s="244"/>
      <c r="AX33" s="244"/>
      <c r="AY33" s="244"/>
      <c r="AZ33" s="244"/>
      <c r="BA33" s="244"/>
    </row>
    <row r="34" spans="1:53">
      <c r="O34" s="395" t="s">
        <v>91</v>
      </c>
      <c r="AA34" s="395" t="s">
        <v>91</v>
      </c>
      <c r="AM34" s="395" t="s">
        <v>91</v>
      </c>
      <c r="AN34" s="244"/>
      <c r="AO34" s="244"/>
      <c r="AP34" s="244"/>
      <c r="AQ34" s="244"/>
      <c r="AR34" s="244"/>
      <c r="AS34" s="244"/>
      <c r="AT34" s="244"/>
      <c r="AU34" s="244"/>
      <c r="AV34" s="244"/>
      <c r="AW34" s="244"/>
      <c r="AX34" s="244"/>
      <c r="AY34" s="244"/>
      <c r="AZ34" s="244"/>
      <c r="BA34" s="244"/>
    </row>
    <row r="35" spans="1:53" ht="15" thickBot="1">
      <c r="O35" s="390">
        <f>SUM(D31:O31)</f>
        <v>-1169748.3399999985</v>
      </c>
      <c r="AA35" s="390" t="e">
        <f>SUM(P31:AA31)</f>
        <v>#REF!</v>
      </c>
      <c r="AM35" s="390" t="e">
        <f>SUM(AB31:AM31)</f>
        <v>#REF!</v>
      </c>
      <c r="AN35" s="244"/>
      <c r="AO35" s="244"/>
      <c r="AP35" s="244"/>
      <c r="AQ35" s="244"/>
      <c r="AR35" s="244"/>
      <c r="AS35" s="244"/>
      <c r="AT35" s="244"/>
      <c r="AU35" s="244"/>
      <c r="AV35" s="244"/>
      <c r="AW35" s="244"/>
      <c r="AX35" s="244"/>
      <c r="AY35" s="244"/>
      <c r="AZ35" s="244"/>
      <c r="BA35" s="244"/>
    </row>
    <row r="36" spans="1:53">
      <c r="A36" s="396" t="e">
        <f>MAX(B36:AM36)</f>
        <v>#REF!</v>
      </c>
      <c r="B36" s="397"/>
      <c r="C36" s="397" t="e">
        <f t="shared" ref="C36" si="3">IF(AND(B32&gt;0,C32&lt;0,MAX(D32:Y32)&lt;0),C25,"")</f>
        <v>#REF!</v>
      </c>
      <c r="D36" s="397" t="e">
        <f>IF(AND(C32&gt;0,D32&lt;0,MAX(E32:$AM32)&lt;0),D25,"")</f>
        <v>#REF!</v>
      </c>
      <c r="E36" s="397" t="e">
        <f>IF(AND(D32&gt;0,E32&lt;0,MAX(F32:$AM32)&lt;0),E25,"")</f>
        <v>#REF!</v>
      </c>
      <c r="F36" s="397" t="e">
        <f>IF(AND(E32&gt;0,F32&lt;0,MAX(G32:$AM32)&lt;0),F25,"")</f>
        <v>#REF!</v>
      </c>
      <c r="G36" s="397" t="e">
        <f>IF(AND(F32&gt;0,G32&lt;0,MAX(H32:$AM32)&lt;0),G25,"")</f>
        <v>#REF!</v>
      </c>
      <c r="H36" s="397" t="e">
        <f>IF(AND(G32&gt;0,H32&lt;0,MAX(I32:$AM32)&lt;0),H25,"")</f>
        <v>#REF!</v>
      </c>
      <c r="I36" s="397" t="e">
        <f>IF(AND(H32&gt;0,I32&lt;0,MAX(J32:$AM32)&lt;0),I25,"")</f>
        <v>#REF!</v>
      </c>
      <c r="J36" s="397" t="e">
        <f>IF(AND(I32&gt;0,J32&lt;0,MAX(K32:$AM32)&lt;0),J25,"")</f>
        <v>#REF!</v>
      </c>
      <c r="K36" s="397" t="e">
        <f>IF(AND(J32&gt;0,K32&lt;0,MAX(L32:$AM32)&lt;0),K25,"")</f>
        <v>#REF!</v>
      </c>
      <c r="L36" s="397" t="e">
        <f>IF(AND(K32&gt;0,L32&lt;0,MAX(M32:$AM32)&lt;0),L25,"")</f>
        <v>#REF!</v>
      </c>
      <c r="M36" s="397" t="e">
        <f>IF(AND(L32&gt;0,M32&lt;0,MAX(N32:$AM32)&lt;0),M25,"")</f>
        <v>#REF!</v>
      </c>
      <c r="N36" s="397" t="e">
        <f>IF(AND(M32&gt;0,N32&lt;0,MAX(O32:$AM32)&lt;0),N25,"")</f>
        <v>#REF!</v>
      </c>
      <c r="O36" s="397" t="e">
        <f>IF(AND(N32&gt;0,O32&lt;0,MAX(P32:$AM32)&lt;0),O25,"")</f>
        <v>#REF!</v>
      </c>
      <c r="P36" s="397" t="e">
        <f>IF(AND(O32&gt;0,P32&lt;0,MAX(Q32:$AM32)&lt;0),P25,"")</f>
        <v>#REF!</v>
      </c>
      <c r="Q36" s="397" t="e">
        <f>IF(AND(P32&gt;0,Q32&lt;0,MAX(R32:$AM32)&lt;0),Q25,"")</f>
        <v>#REF!</v>
      </c>
      <c r="R36" s="397" t="e">
        <f>IF(AND(Q32&gt;0,R32&lt;0,MAX(S32:$AM32)&lt;0),R25,"")</f>
        <v>#REF!</v>
      </c>
      <c r="S36" s="397" t="e">
        <f>IF(AND(R32&gt;0,S32&lt;0,MAX(T32:$AM32)&lt;0),S25,"")</f>
        <v>#REF!</v>
      </c>
      <c r="T36" s="397" t="e">
        <f>IF(AND(S32&gt;0,T32&lt;0,MAX(U32:$AM32)&lt;0),T25,"")</f>
        <v>#REF!</v>
      </c>
      <c r="U36" s="397" t="e">
        <f>IF(AND(T32&gt;0,U32&lt;0,MAX(V32:$AM32)&lt;0),U25,"")</f>
        <v>#REF!</v>
      </c>
      <c r="V36" s="397" t="e">
        <f>IF(AND(U32&gt;0,V32&lt;0,MAX(W32:$AM32)&lt;0),V25,"")</f>
        <v>#REF!</v>
      </c>
      <c r="W36" s="397" t="e">
        <f>IF(AND(V32&gt;0,W32&lt;0,MAX(X32:$AM32)&lt;0),W25,"")</f>
        <v>#REF!</v>
      </c>
      <c r="X36" s="397" t="e">
        <f>IF(AND(W32&gt;0,X32&lt;0,MAX(Y32:$AM32)&lt;0),X25,"")</f>
        <v>#REF!</v>
      </c>
      <c r="Y36" s="397" t="e">
        <f>IF(AND(X32&gt;0,Y32&lt;0,MAX(Z32:$AM32)&lt;0),Y25,"")</f>
        <v>#REF!</v>
      </c>
      <c r="Z36" s="397" t="e">
        <f>IF(AND(Y32&gt;0,Z32&lt;0,MAX(AA32:$AM32)&lt;0),Z25,"")</f>
        <v>#REF!</v>
      </c>
      <c r="AA36" s="397" t="e">
        <f>IF(AND(Z32&gt;0,AA32&lt;0,MAX(AB32:$AM32)&lt;0),AA25,"")</f>
        <v>#REF!</v>
      </c>
      <c r="AB36" s="397" t="e">
        <f>IF(AND(AA32&gt;0,AB32&lt;0,MAX(AC32:$AM32)&lt;0),AB25,"")</f>
        <v>#REF!</v>
      </c>
      <c r="AC36" s="397" t="e">
        <f>IF(AND(AB32&gt;0,AC32&lt;0,MAX(AD32:$AM32)&lt;0),AC25,"")</f>
        <v>#REF!</v>
      </c>
      <c r="AD36" s="397" t="e">
        <f>IF(AND(AC32&gt;0,AD32&lt;0,MAX(AE32:$AM32)&lt;0),AD25,"")</f>
        <v>#REF!</v>
      </c>
      <c r="AE36" s="397" t="e">
        <f>IF(AND(AD32&gt;0,AE32&lt;0,MAX(AF32:$AM32)&lt;0),AE25,"")</f>
        <v>#REF!</v>
      </c>
      <c r="AF36" s="397" t="e">
        <f>IF(AND(AE32&gt;0,AF32&lt;0,MAX(AG32:$AM32)&lt;0),AF25,"")</f>
        <v>#REF!</v>
      </c>
      <c r="AG36" s="397" t="e">
        <f>IF(AND(AF32&gt;0,AG32&lt;0,MAX(AH32:$AM32)&lt;0),AG25,"")</f>
        <v>#REF!</v>
      </c>
      <c r="AH36" s="397" t="e">
        <f>IF(AND(AG32&gt;0,AH32&lt;0,MAX(AI32:$AM32)&lt;0),AH25,"")</f>
        <v>#REF!</v>
      </c>
      <c r="AI36" s="397" t="e">
        <f>IF(AND(AH32&gt;0,AI32&lt;0,MAX(AJ32:$AM32)&lt;0),AI25,"")</f>
        <v>#REF!</v>
      </c>
      <c r="AJ36" s="397" t="e">
        <f>IF(AND(AI32&gt;0,AJ32&lt;0,MAX(AK32:$AM32)&lt;0),AJ25,"")</f>
        <v>#REF!</v>
      </c>
      <c r="AK36" s="397" t="e">
        <f>IF(AND(AJ32&gt;0,AK32&lt;0,MAX(AL32:$AM32)&lt;0),AK25,"")</f>
        <v>#REF!</v>
      </c>
      <c r="AL36" s="397" t="e">
        <f>IF(AND(AK32&gt;0,AL32&lt;0,MAX(AM32:$AM32)&lt;0),AL25,"")</f>
        <v>#REF!</v>
      </c>
      <c r="AM36" s="397" t="e">
        <f>IF(AND(AL32&gt;0,AM32&lt;0,MAX($AM32:AN32)&lt;0),AM25,"")</f>
        <v>#REF!</v>
      </c>
      <c r="AN36" s="244"/>
      <c r="AO36" s="244"/>
      <c r="AP36" s="244"/>
      <c r="AQ36" s="244"/>
      <c r="AR36" s="244"/>
      <c r="AS36" s="244"/>
      <c r="AT36" s="244"/>
      <c r="AU36" s="244"/>
      <c r="AV36" s="244"/>
      <c r="AW36" s="244"/>
      <c r="AX36" s="244"/>
      <c r="AY36" s="244"/>
      <c r="AZ36" s="244"/>
      <c r="BA36" s="244"/>
    </row>
    <row r="37" spans="1:53">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row>
    <row r="38" spans="1:53">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row>
    <row r="39" spans="1:53">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row>
    <row r="40" spans="1:53">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row>
    <row r="41" spans="1:53">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row>
    <row r="42" spans="1:53">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row>
    <row r="43" spans="1:53">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row>
    <row r="44" spans="1:53">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row>
    <row r="45" spans="1:53">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row>
    <row r="46" spans="1:53">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row>
    <row r="47" spans="1:53">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row>
    <row r="48" spans="1:53">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row>
    <row r="49" spans="1:53">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row>
    <row r="50" spans="1:53">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row>
    <row r="51" spans="1:53">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row>
    <row r="52" spans="1:53">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row>
    <row r="53" spans="1:53">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row>
    <row r="54" spans="1:53">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row>
    <row r="55" spans="1:53">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row>
    <row r="56" spans="1:53">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row>
    <row r="57" spans="1:53">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row>
    <row r="58" spans="1:53">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row>
    <row r="59" spans="1:53">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row>
    <row r="60" spans="1:53">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row>
    <row r="61" spans="1:53">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row>
    <row r="62" spans="1:53">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row>
    <row r="63" spans="1:53">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row>
    <row r="64" spans="1:53">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row>
    <row r="65" spans="1:53">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row>
    <row r="66" spans="1:53">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row>
    <row r="67" spans="1:53">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row>
    <row r="68" spans="1:53">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row>
    <row r="69" spans="1:53">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row>
    <row r="70" spans="1:53">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row>
    <row r="71" spans="1:53">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row>
    <row r="72" spans="1:53">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row>
    <row r="73" spans="1:53">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row>
    <row r="74" spans="1:53">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row>
    <row r="75" spans="1:53">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c r="AX75" s="244"/>
      <c r="AY75" s="244"/>
      <c r="AZ75" s="244"/>
      <c r="BA75" s="244"/>
    </row>
    <row r="76" spans="1:53">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row>
    <row r="77" spans="1:53">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4"/>
      <c r="AY77" s="244"/>
      <c r="AZ77" s="244"/>
      <c r="BA77" s="244"/>
    </row>
    <row r="78" spans="1:53">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row>
    <row r="79" spans="1:53">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row>
    <row r="80" spans="1:53">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row>
    <row r="81" spans="1:53">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row>
    <row r="82" spans="1:53">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row>
    <row r="83" spans="1:53">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row>
    <row r="84" spans="1:53">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row>
    <row r="85" spans="1:53">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row>
    <row r="86" spans="1:53">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row>
    <row r="87" spans="1:53">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row>
    <row r="88" spans="1:53">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row>
    <row r="89" spans="1:53">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row>
    <row r="90" spans="1:53">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row>
    <row r="91" spans="1:53">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row>
    <row r="92" spans="1:53">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row>
    <row r="93" spans="1:53">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row>
    <row r="94" spans="1:53">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row>
    <row r="95" spans="1:53">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row>
    <row r="96" spans="1:53">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row>
    <row r="97" spans="1:53">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row>
    <row r="98" spans="1:53">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row>
    <row r="99" spans="1:53">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row>
    <row r="100" spans="1:53">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row>
    <row r="101" spans="1:53">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row>
    <row r="102" spans="1:53">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row>
    <row r="103" spans="1:53">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row>
    <row r="104" spans="1:53">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row>
    <row r="105" spans="1:53">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row>
    <row r="106" spans="1:53">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row>
    <row r="107" spans="1:53">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row>
    <row r="108" spans="1:53">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row>
    <row r="109" spans="1:53">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row>
    <row r="110" spans="1:53">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row>
    <row r="111" spans="1:53">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row>
    <row r="112" spans="1:53">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row>
    <row r="113" spans="1:53">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row>
    <row r="114" spans="1:53">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row>
    <row r="115" spans="1:53">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row>
    <row r="116" spans="1:53">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row>
    <row r="117" spans="1:53">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row>
    <row r="118" spans="1:53">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row>
    <row r="119" spans="1:53">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row>
    <row r="120" spans="1:53">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row>
    <row r="121" spans="1:53">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row>
    <row r="122" spans="1:53">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row>
    <row r="123" spans="1:53">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row>
    <row r="124" spans="1:53">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row>
    <row r="125" spans="1:53">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row>
    <row r="126" spans="1:53">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row>
    <row r="127" spans="1:53">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row>
    <row r="128" spans="1:53">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row>
    <row r="129" spans="1:53">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4"/>
      <c r="AY129" s="244"/>
      <c r="AZ129" s="244"/>
      <c r="BA129" s="244"/>
    </row>
    <row r="130" spans="1:53">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row>
    <row r="131" spans="1:53">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row>
    <row r="132" spans="1:53">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row>
  </sheetData>
  <sheetProtection algorithmName="SHA-512" hashValue="TjToMCV2wNSEigKIhVZpGZgD3tLqSFLuvtHElwehozRj5BXskHAXOXJWQE1WDAuAnsWDWZzulnlzGPfu/ioNyw==" saltValue="h9QYsd2hYMyrKQHGXOo9mQ==" spinCount="100000" sheet="1" objects="1" scenarios="1" selectLockedCells="1" selectUnlockedCells="1"/>
  <mergeCells count="1">
    <mergeCell ref="A1:R1"/>
  </mergeCells>
  <pageMargins left="0.7" right="0.7" top="0.75" bottom="0.75" header="0.3" footer="0.3"/>
  <pageSetup orientation="portrait" horizontalDpi="0" verticalDpi="0" r:id="rId1"/>
  <headerFooter>
    <oddHeader>&amp;C&amp;"-,Bold"&amp;14MANAGEMENT PARTNERS' COVID-19 FISCAL DIAGNOSTIC TOOL</oddHeader>
    <oddFooter>&amp;R&amp;D-&amp;T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48"/>
  <sheetViews>
    <sheetView zoomScaleNormal="100" workbookViewId="0">
      <selection activeCell="R1" sqref="R1:R2"/>
    </sheetView>
  </sheetViews>
  <sheetFormatPr defaultRowHeight="14.4"/>
  <cols>
    <col min="1" max="1" width="7" customWidth="1"/>
    <col min="2" max="2" width="18.33203125" customWidth="1"/>
    <col min="3" max="3" width="21.88671875" bestFit="1" customWidth="1"/>
    <col min="4" max="4" width="16.21875" bestFit="1" customWidth="1"/>
    <col min="5" max="5" width="14.109375" bestFit="1" customWidth="1"/>
    <col min="6" max="6" width="9" bestFit="1" customWidth="1"/>
    <col min="7" max="7" width="4.88671875" bestFit="1" customWidth="1"/>
    <col min="8" max="8" width="6.44140625" bestFit="1" customWidth="1"/>
    <col min="9" max="9" width="8" bestFit="1" customWidth="1"/>
    <col min="10" max="11" width="8.33203125" hidden="1" customWidth="1"/>
    <col min="12" max="16" width="9.77734375" hidden="1" customWidth="1"/>
    <col min="17" max="17" width="3.6640625" customWidth="1"/>
    <col min="18" max="18" width="26.88671875" customWidth="1"/>
    <col min="19" max="19" width="13" bestFit="1" customWidth="1"/>
    <col min="20" max="20" width="11.44140625" bestFit="1" customWidth="1"/>
    <col min="21" max="25" width="11.33203125" bestFit="1" customWidth="1"/>
    <col min="26" max="30" width="11.33203125" customWidth="1"/>
    <col min="33" max="33" width="8.88671875" customWidth="1"/>
  </cols>
  <sheetData>
    <row r="1" spans="1:30">
      <c r="A1" s="1" t="s">
        <v>409</v>
      </c>
      <c r="B1" s="1"/>
      <c r="R1" t="s">
        <v>459</v>
      </c>
    </row>
    <row r="2" spans="1:30">
      <c r="A2" s="1" t="s">
        <v>410</v>
      </c>
      <c r="B2" s="1"/>
      <c r="R2" t="s">
        <v>461</v>
      </c>
    </row>
    <row r="3" spans="1:30" ht="28.8">
      <c r="A3" s="566" t="s">
        <v>435</v>
      </c>
      <c r="B3" s="567" t="s">
        <v>249</v>
      </c>
      <c r="C3" s="567" t="s">
        <v>436</v>
      </c>
      <c r="D3" s="568" t="s">
        <v>437</v>
      </c>
      <c r="E3" s="567" t="s">
        <v>438</v>
      </c>
      <c r="F3" s="569" t="s">
        <v>439</v>
      </c>
      <c r="G3" s="569" t="s">
        <v>440</v>
      </c>
      <c r="H3" s="569" t="s">
        <v>457</v>
      </c>
      <c r="I3" s="570" t="s">
        <v>448</v>
      </c>
      <c r="J3" s="599">
        <v>21</v>
      </c>
      <c r="K3" s="599">
        <v>22</v>
      </c>
      <c r="L3" s="599">
        <v>23</v>
      </c>
      <c r="M3" s="599">
        <v>24</v>
      </c>
      <c r="N3" s="599">
        <v>25</v>
      </c>
      <c r="O3" s="599">
        <v>26</v>
      </c>
      <c r="P3" s="599">
        <v>27</v>
      </c>
      <c r="Q3" s="565"/>
      <c r="R3" s="591" t="s">
        <v>443</v>
      </c>
      <c r="S3" s="592" t="s">
        <v>361</v>
      </c>
      <c r="T3" s="592" t="s">
        <v>362</v>
      </c>
      <c r="U3" s="592" t="s">
        <v>363</v>
      </c>
      <c r="V3" s="592" t="s">
        <v>364</v>
      </c>
      <c r="W3" s="592" t="s">
        <v>365</v>
      </c>
      <c r="X3" s="592" t="s">
        <v>366</v>
      </c>
      <c r="Y3" s="592" t="s">
        <v>370</v>
      </c>
      <c r="Z3" s="592" t="s">
        <v>371</v>
      </c>
      <c r="AA3" s="596"/>
      <c r="AB3" s="596"/>
      <c r="AC3" s="596"/>
      <c r="AD3" s="596"/>
    </row>
    <row r="4" spans="1:30">
      <c r="A4" s="571">
        <v>1</v>
      </c>
      <c r="B4" s="572" t="s">
        <v>441</v>
      </c>
      <c r="C4" s="572" t="s">
        <v>458</v>
      </c>
      <c r="D4" s="573">
        <v>55000</v>
      </c>
      <c r="E4" s="572" t="s">
        <v>26</v>
      </c>
      <c r="F4" s="574" t="s">
        <v>460</v>
      </c>
      <c r="G4" s="574">
        <v>21</v>
      </c>
      <c r="H4" s="574">
        <v>1</v>
      </c>
      <c r="I4" s="575">
        <v>0.03</v>
      </c>
      <c r="J4" s="600">
        <f>IF($F4&lt;&gt;"x",0,IF($G4=J$3,$D4/$H4,0))</f>
        <v>55000</v>
      </c>
      <c r="K4" s="600">
        <f>IF($F4&lt;&gt;"x",0,IF($G4&gt;K$3,0,IF(K$3&gt;=$G4+$H4,J4*(1+$I4),$D4*(K$3-$G4+1)/$H4)))</f>
        <v>56650</v>
      </c>
      <c r="L4" s="600">
        <f t="shared" ref="L4:P4" si="0">IF($F4&lt;&gt;"x",0,IF($G4&gt;L$3,0,IF(L$3&gt;=$G4+$H4,K4*(1+$I4),$D4*(L$3-$G4+1)/$H4)))</f>
        <v>58349.5</v>
      </c>
      <c r="M4" s="600">
        <f t="shared" si="0"/>
        <v>60099.985000000001</v>
      </c>
      <c r="N4" s="600">
        <f t="shared" si="0"/>
        <v>61902.984550000001</v>
      </c>
      <c r="O4" s="600">
        <f t="shared" si="0"/>
        <v>63760.074086500004</v>
      </c>
      <c r="P4" s="600">
        <f t="shared" si="0"/>
        <v>65672.876309095009</v>
      </c>
      <c r="Q4" s="564"/>
      <c r="R4" t="s">
        <v>420</v>
      </c>
      <c r="S4" s="562">
        <v>0</v>
      </c>
      <c r="T4" s="562">
        <f>SUMIF($B$4:$B$25,$R4,J$4:J$25)</f>
        <v>0</v>
      </c>
      <c r="U4" s="562">
        <f t="shared" ref="U4:Z4" si="1">SUMIF($B$4:$B$25,$R4,K$4:K$25)</f>
        <v>133333.33333333334</v>
      </c>
      <c r="V4" s="562">
        <f t="shared" si="1"/>
        <v>266666.66666666669</v>
      </c>
      <c r="W4" s="562">
        <f t="shared" si="1"/>
        <v>1400000</v>
      </c>
      <c r="X4" s="562">
        <f t="shared" si="1"/>
        <v>1426000</v>
      </c>
      <c r="Y4" s="562">
        <f t="shared" si="1"/>
        <v>1452490</v>
      </c>
      <c r="Z4" s="562">
        <f t="shared" si="1"/>
        <v>2062479.3499999999</v>
      </c>
      <c r="AA4" s="562"/>
      <c r="AB4" s="562"/>
      <c r="AC4" s="562"/>
      <c r="AD4" s="562"/>
    </row>
    <row r="5" spans="1:30">
      <c r="A5" s="576">
        <v>2</v>
      </c>
      <c r="B5" s="577" t="s">
        <v>441</v>
      </c>
      <c r="C5" s="577" t="s">
        <v>411</v>
      </c>
      <c r="D5" s="578">
        <v>50000</v>
      </c>
      <c r="E5" s="577" t="s">
        <v>26</v>
      </c>
      <c r="F5" s="579"/>
      <c r="G5" s="579">
        <v>26</v>
      </c>
      <c r="H5" s="579">
        <v>1</v>
      </c>
      <c r="I5" s="580">
        <v>0.03</v>
      </c>
      <c r="J5" s="601">
        <f t="shared" ref="J5:J25" si="2">IF($F5&lt;&gt;"x",0,IF($G5=J$3,$D5/$H5,0))</f>
        <v>0</v>
      </c>
      <c r="K5" s="601">
        <f t="shared" ref="K5:P5" si="3">IF($F5&lt;&gt;"x",0,IF($G5&gt;K$3,0,IF(K$3&gt;=$G5+$H5,J5*(1+$I5),$D5*(K$3-$G5+1)/$H5)))</f>
        <v>0</v>
      </c>
      <c r="L5" s="601">
        <f t="shared" si="3"/>
        <v>0</v>
      </c>
      <c r="M5" s="601">
        <f t="shared" si="3"/>
        <v>0</v>
      </c>
      <c r="N5" s="601">
        <f t="shared" si="3"/>
        <v>0</v>
      </c>
      <c r="O5" s="601">
        <f t="shared" si="3"/>
        <v>0</v>
      </c>
      <c r="P5" s="601">
        <f t="shared" si="3"/>
        <v>0</v>
      </c>
      <c r="Q5" s="564"/>
      <c r="R5" t="s">
        <v>426</v>
      </c>
      <c r="S5" s="562">
        <v>0</v>
      </c>
      <c r="T5" s="562">
        <f>SUMIF($B$4:$B$25,$R5,J$4:J$25)</f>
        <v>0</v>
      </c>
      <c r="U5" s="562">
        <f t="shared" ref="U5" si="4">SUMIF($B$4:$B$25,$R5,K$4:K$25)</f>
        <v>0</v>
      </c>
      <c r="V5" s="562">
        <f t="shared" ref="V5" si="5">SUMIF($B$4:$B$25,$R5,L$4:L$25)</f>
        <v>0</v>
      </c>
      <c r="W5" s="562">
        <f t="shared" ref="W5" si="6">SUMIF($B$4:$B$25,$R5,M$4:M$25)</f>
        <v>0</v>
      </c>
      <c r="X5" s="562">
        <f t="shared" ref="X5" si="7">SUMIF($B$4:$B$25,$R5,N$4:N$25)</f>
        <v>0</v>
      </c>
      <c r="Y5" s="562">
        <f t="shared" ref="Y5" si="8">SUMIF($B$4:$B$25,$R5,O$4:O$25)</f>
        <v>0</v>
      </c>
      <c r="Z5" s="562">
        <f t="shared" ref="Z5" si="9">SUMIF($B$4:$B$25,$R5,P$4:P$25)</f>
        <v>0</v>
      </c>
      <c r="AA5" s="562"/>
      <c r="AB5" s="562"/>
      <c r="AC5" s="562"/>
      <c r="AD5" s="562"/>
    </row>
    <row r="6" spans="1:30">
      <c r="A6" s="581">
        <v>3</v>
      </c>
      <c r="B6" s="582" t="s">
        <v>441</v>
      </c>
      <c r="C6" s="582" t="s">
        <v>412</v>
      </c>
      <c r="D6" s="583">
        <v>50000</v>
      </c>
      <c r="E6" s="582" t="s">
        <v>56</v>
      </c>
      <c r="F6" s="584"/>
      <c r="G6" s="584">
        <v>22</v>
      </c>
      <c r="H6" s="584">
        <v>1</v>
      </c>
      <c r="I6" s="585">
        <v>0.03</v>
      </c>
      <c r="J6" s="600">
        <f t="shared" si="2"/>
        <v>0</v>
      </c>
      <c r="K6" s="600">
        <f t="shared" ref="K6:P6" si="10">IF($F6&lt;&gt;"x",0,IF($G6&gt;K$3,0,IF(K$3&gt;=$G6+$H6,J6*(1+$I6),$D6*(K$3-$G6+1)/$H6)))</f>
        <v>0</v>
      </c>
      <c r="L6" s="600">
        <f t="shared" si="10"/>
        <v>0</v>
      </c>
      <c r="M6" s="600">
        <f t="shared" si="10"/>
        <v>0</v>
      </c>
      <c r="N6" s="600">
        <f t="shared" si="10"/>
        <v>0</v>
      </c>
      <c r="O6" s="600">
        <f t="shared" si="10"/>
        <v>0</v>
      </c>
      <c r="P6" s="600">
        <f t="shared" si="10"/>
        <v>0</v>
      </c>
      <c r="Q6" s="564"/>
      <c r="R6" s="1" t="s">
        <v>444</v>
      </c>
      <c r="S6" s="590">
        <f>SUM(S4:S5)</f>
        <v>0</v>
      </c>
      <c r="T6" s="590">
        <f>SUM(T4:T5)</f>
        <v>0</v>
      </c>
      <c r="U6" s="590">
        <f t="shared" ref="U6:Z6" si="11">SUM(U4:U5)</f>
        <v>133333.33333333334</v>
      </c>
      <c r="V6" s="590">
        <f t="shared" si="11"/>
        <v>266666.66666666669</v>
      </c>
      <c r="W6" s="590">
        <f t="shared" si="11"/>
        <v>1400000</v>
      </c>
      <c r="X6" s="590">
        <f t="shared" si="11"/>
        <v>1426000</v>
      </c>
      <c r="Y6" s="590">
        <f t="shared" si="11"/>
        <v>1452490</v>
      </c>
      <c r="Z6" s="590">
        <f t="shared" si="11"/>
        <v>2062479.3499999999</v>
      </c>
      <c r="AA6" s="597"/>
      <c r="AB6" s="597"/>
      <c r="AC6" s="597"/>
      <c r="AD6" s="597"/>
    </row>
    <row r="7" spans="1:30" ht="43.2">
      <c r="A7" s="576">
        <v>4</v>
      </c>
      <c r="B7" s="577" t="s">
        <v>445</v>
      </c>
      <c r="C7" s="577" t="s">
        <v>413</v>
      </c>
      <c r="D7" s="578">
        <v>100000</v>
      </c>
      <c r="E7" s="577" t="s">
        <v>414</v>
      </c>
      <c r="F7" s="579"/>
      <c r="G7" s="579">
        <v>23</v>
      </c>
      <c r="H7" s="579">
        <v>1</v>
      </c>
      <c r="I7" s="580">
        <v>0.03</v>
      </c>
      <c r="J7" s="601">
        <f t="shared" si="2"/>
        <v>0</v>
      </c>
      <c r="K7" s="601">
        <f t="shared" ref="K7:P7" si="12">IF($F7&lt;&gt;"x",0,IF($G7&gt;K$3,0,IF(K$3&gt;=$G7+$H7,J7*(1+$I7),$D7*(K$3-$G7+1)/$H7)))</f>
        <v>0</v>
      </c>
      <c r="L7" s="601">
        <f t="shared" si="12"/>
        <v>0</v>
      </c>
      <c r="M7" s="601">
        <f t="shared" si="12"/>
        <v>0</v>
      </c>
      <c r="N7" s="601">
        <f t="shared" si="12"/>
        <v>0</v>
      </c>
      <c r="O7" s="601">
        <f t="shared" si="12"/>
        <v>0</v>
      </c>
      <c r="P7" s="601">
        <f t="shared" si="12"/>
        <v>0</v>
      </c>
      <c r="Q7" s="564"/>
      <c r="R7" t="s">
        <v>441</v>
      </c>
      <c r="S7" s="562">
        <v>0</v>
      </c>
      <c r="T7" s="562">
        <f t="shared" ref="T7:T9" si="13">SUMIF($B$4:$B$25,$R7,J$4:J$25)</f>
        <v>55000</v>
      </c>
      <c r="U7" s="562">
        <f t="shared" ref="U7:U9" si="14">SUMIF($B$4:$B$25,$R7,K$4:K$25)</f>
        <v>56650</v>
      </c>
      <c r="V7" s="562">
        <f t="shared" ref="V7:V9" si="15">SUMIF($B$4:$B$25,$R7,L$4:L$25)</f>
        <v>58349.5</v>
      </c>
      <c r="W7" s="562">
        <f t="shared" ref="W7:W9" si="16">SUMIF($B$4:$B$25,$R7,M$4:M$25)</f>
        <v>60099.985000000001</v>
      </c>
      <c r="X7" s="562">
        <f t="shared" ref="X7:X9" si="17">SUMIF($B$4:$B$25,$R7,N$4:N$25)</f>
        <v>61902.984550000001</v>
      </c>
      <c r="Y7" s="562">
        <f t="shared" ref="Y7:Y9" si="18">SUMIF($B$4:$B$25,$R7,O$4:O$25)</f>
        <v>63760.074086500004</v>
      </c>
      <c r="Z7" s="562">
        <f t="shared" ref="Z7:Z9" si="19">SUMIF($B$4:$B$25,$R7,P$4:P$25)</f>
        <v>65672.876309095009</v>
      </c>
      <c r="AA7" s="562"/>
      <c r="AB7" s="562"/>
      <c r="AC7" s="562"/>
      <c r="AD7" s="562"/>
    </row>
    <row r="8" spans="1:30" ht="28.8">
      <c r="A8" s="581">
        <v>5</v>
      </c>
      <c r="B8" s="582" t="s">
        <v>445</v>
      </c>
      <c r="C8" s="582" t="s">
        <v>449</v>
      </c>
      <c r="D8" s="583">
        <v>240000</v>
      </c>
      <c r="E8" s="582" t="s">
        <v>415</v>
      </c>
      <c r="F8" s="584"/>
      <c r="G8" s="584">
        <v>23</v>
      </c>
      <c r="H8" s="584">
        <v>2</v>
      </c>
      <c r="I8" s="585">
        <v>3.5000000000000003E-2</v>
      </c>
      <c r="J8" s="600">
        <f t="shared" si="2"/>
        <v>0</v>
      </c>
      <c r="K8" s="600">
        <f t="shared" ref="K8:P8" si="20">IF($F8&lt;&gt;"x",0,IF($G8&gt;K$3,0,IF(K$3&gt;=$G8+$H8,J8*(1+$I8),$D8*(K$3-$G8+1)/$H8)))</f>
        <v>0</v>
      </c>
      <c r="L8" s="600">
        <f t="shared" si="20"/>
        <v>0</v>
      </c>
      <c r="M8" s="600">
        <f t="shared" si="20"/>
        <v>0</v>
      </c>
      <c r="N8" s="600">
        <f t="shared" si="20"/>
        <v>0</v>
      </c>
      <c r="O8" s="600">
        <f t="shared" si="20"/>
        <v>0</v>
      </c>
      <c r="P8" s="600">
        <f t="shared" si="20"/>
        <v>0</v>
      </c>
      <c r="Q8" s="564"/>
      <c r="R8" t="s">
        <v>445</v>
      </c>
      <c r="S8" s="562">
        <v>0</v>
      </c>
      <c r="T8" s="562">
        <f t="shared" si="13"/>
        <v>0</v>
      </c>
      <c r="U8" s="562">
        <f t="shared" si="14"/>
        <v>0</v>
      </c>
      <c r="V8" s="562">
        <f t="shared" si="15"/>
        <v>0</v>
      </c>
      <c r="W8" s="562">
        <f t="shared" si="16"/>
        <v>0</v>
      </c>
      <c r="X8" s="562">
        <f t="shared" si="17"/>
        <v>0</v>
      </c>
      <c r="Y8" s="562">
        <f t="shared" si="18"/>
        <v>0</v>
      </c>
      <c r="Z8" s="562">
        <f t="shared" si="19"/>
        <v>0</v>
      </c>
      <c r="AA8" s="562"/>
      <c r="AB8" s="562"/>
      <c r="AC8" s="562"/>
      <c r="AD8" s="562"/>
    </row>
    <row r="9" spans="1:30" ht="28.8">
      <c r="A9" s="576">
        <v>6</v>
      </c>
      <c r="B9" s="577" t="s">
        <v>445</v>
      </c>
      <c r="C9" s="577" t="s">
        <v>416</v>
      </c>
      <c r="D9" s="578">
        <v>50000</v>
      </c>
      <c r="E9" s="577" t="s">
        <v>56</v>
      </c>
      <c r="F9" s="579"/>
      <c r="G9" s="579">
        <v>24</v>
      </c>
      <c r="H9" s="579">
        <v>1</v>
      </c>
      <c r="I9" s="580">
        <v>0.03</v>
      </c>
      <c r="J9" s="601">
        <f t="shared" si="2"/>
        <v>0</v>
      </c>
      <c r="K9" s="601">
        <f t="shared" ref="K9:P9" si="21">IF($F9&lt;&gt;"x",0,IF($G9&gt;K$3,0,IF(K$3&gt;=$G9+$H9,J9*(1+$I9),$D9*(K$3-$G9+1)/$H9)))</f>
        <v>0</v>
      </c>
      <c r="L9" s="601">
        <f t="shared" si="21"/>
        <v>0</v>
      </c>
      <c r="M9" s="601">
        <f t="shared" si="21"/>
        <v>0</v>
      </c>
      <c r="N9" s="601">
        <f t="shared" si="21"/>
        <v>0</v>
      </c>
      <c r="O9" s="601">
        <f t="shared" si="21"/>
        <v>0</v>
      </c>
      <c r="P9" s="601">
        <f t="shared" si="21"/>
        <v>0</v>
      </c>
      <c r="Q9" s="564"/>
      <c r="R9" t="s">
        <v>442</v>
      </c>
      <c r="S9" s="562">
        <v>0</v>
      </c>
      <c r="T9" s="562">
        <f t="shared" si="13"/>
        <v>0</v>
      </c>
      <c r="U9" s="562">
        <f t="shared" si="14"/>
        <v>0</v>
      </c>
      <c r="V9" s="562">
        <f t="shared" si="15"/>
        <v>0</v>
      </c>
      <c r="W9" s="562">
        <f t="shared" si="16"/>
        <v>0</v>
      </c>
      <c r="X9" s="562">
        <f t="shared" si="17"/>
        <v>0</v>
      </c>
      <c r="Y9" s="562">
        <f t="shared" si="18"/>
        <v>0</v>
      </c>
      <c r="Z9" s="562">
        <f t="shared" si="19"/>
        <v>0</v>
      </c>
      <c r="AA9" s="562"/>
      <c r="AB9" s="562"/>
      <c r="AC9" s="562"/>
      <c r="AD9" s="562"/>
    </row>
    <row r="10" spans="1:30" ht="28.8">
      <c r="A10" s="581">
        <v>7</v>
      </c>
      <c r="B10" s="582" t="s">
        <v>445</v>
      </c>
      <c r="C10" s="582" t="s">
        <v>417</v>
      </c>
      <c r="D10" s="583">
        <v>20000</v>
      </c>
      <c r="E10" s="582" t="s">
        <v>56</v>
      </c>
      <c r="F10" s="584"/>
      <c r="G10" s="584">
        <v>21</v>
      </c>
      <c r="H10" s="584">
        <v>1</v>
      </c>
      <c r="I10" s="585">
        <v>0.03</v>
      </c>
      <c r="J10" s="600">
        <f t="shared" si="2"/>
        <v>0</v>
      </c>
      <c r="K10" s="600">
        <f t="shared" ref="K10:P10" si="22">IF($F10&lt;&gt;"x",0,IF($G10&gt;K$3,0,IF(K$3&gt;=$G10+$H10,J10*(1+$I10),$D10*(K$3-$G10+1)/$H10)))</f>
        <v>0</v>
      </c>
      <c r="L10" s="600">
        <f t="shared" si="22"/>
        <v>0</v>
      </c>
      <c r="M10" s="600">
        <f t="shared" si="22"/>
        <v>0</v>
      </c>
      <c r="N10" s="600">
        <f t="shared" si="22"/>
        <v>0</v>
      </c>
      <c r="O10" s="600">
        <f t="shared" si="22"/>
        <v>0</v>
      </c>
      <c r="P10" s="600">
        <f t="shared" si="22"/>
        <v>0</v>
      </c>
      <c r="Q10" s="564"/>
      <c r="R10" s="1" t="s">
        <v>446</v>
      </c>
      <c r="S10" s="590">
        <f>SUM(S7:S9)</f>
        <v>0</v>
      </c>
      <c r="T10" s="590">
        <f>SUM(T7:T9)</f>
        <v>55000</v>
      </c>
      <c r="U10" s="590">
        <f t="shared" ref="U10:Z10" si="23">SUM(U7:U9)</f>
        <v>56650</v>
      </c>
      <c r="V10" s="590">
        <f t="shared" si="23"/>
        <v>58349.5</v>
      </c>
      <c r="W10" s="590">
        <f t="shared" si="23"/>
        <v>60099.985000000001</v>
      </c>
      <c r="X10" s="590">
        <f t="shared" si="23"/>
        <v>61902.984550000001</v>
      </c>
      <c r="Y10" s="590">
        <f t="shared" si="23"/>
        <v>63760.074086500004</v>
      </c>
      <c r="Z10" s="590">
        <f t="shared" si="23"/>
        <v>65672.876309095009</v>
      </c>
      <c r="AA10" s="597"/>
      <c r="AB10" s="597"/>
      <c r="AC10" s="597"/>
      <c r="AD10" s="597"/>
    </row>
    <row r="11" spans="1:30" ht="29.4" thickBot="1">
      <c r="A11" s="576">
        <v>8</v>
      </c>
      <c r="B11" s="577" t="s">
        <v>445</v>
      </c>
      <c r="C11" s="577" t="s">
        <v>418</v>
      </c>
      <c r="D11" s="578" t="s">
        <v>419</v>
      </c>
      <c r="E11" s="577" t="s">
        <v>419</v>
      </c>
      <c r="F11" s="579"/>
      <c r="G11" s="579"/>
      <c r="H11" s="579">
        <v>1</v>
      </c>
      <c r="I11" s="580" t="s">
        <v>419</v>
      </c>
      <c r="J11" s="601">
        <f t="shared" si="2"/>
        <v>0</v>
      </c>
      <c r="K11" s="601">
        <f t="shared" ref="K11:P11" si="24">IF($F11&lt;&gt;"x",0,IF($G11&gt;K$3,0,IF(K$3&gt;=$G11+$H11,J11*(1+$I11),$D11*(K$3-$G11+1)/$H11)))</f>
        <v>0</v>
      </c>
      <c r="L11" s="601">
        <f t="shared" si="24"/>
        <v>0</v>
      </c>
      <c r="M11" s="601">
        <f t="shared" si="24"/>
        <v>0</v>
      </c>
      <c r="N11" s="601">
        <f t="shared" si="24"/>
        <v>0</v>
      </c>
      <c r="O11" s="601">
        <f t="shared" si="24"/>
        <v>0</v>
      </c>
      <c r="P11" s="601">
        <f t="shared" si="24"/>
        <v>0</v>
      </c>
      <c r="Q11" s="564"/>
      <c r="R11" s="1" t="s">
        <v>447</v>
      </c>
      <c r="S11" s="593">
        <f>+S10+S6</f>
        <v>0</v>
      </c>
      <c r="T11" s="593">
        <f>+T10+T6</f>
        <v>55000</v>
      </c>
      <c r="U11" s="593">
        <f t="shared" ref="U11:Z11" si="25">+U10+U6</f>
        <v>189983.33333333334</v>
      </c>
      <c r="V11" s="593">
        <f t="shared" si="25"/>
        <v>325016.16666666669</v>
      </c>
      <c r="W11" s="593">
        <f t="shared" si="25"/>
        <v>1460099.9850000001</v>
      </c>
      <c r="X11" s="593">
        <f t="shared" si="25"/>
        <v>1487902.9845499999</v>
      </c>
      <c r="Y11" s="593">
        <f t="shared" si="25"/>
        <v>1516250.0740865001</v>
      </c>
      <c r="Z11" s="593">
        <f t="shared" si="25"/>
        <v>2128152.226309095</v>
      </c>
      <c r="AA11" s="597"/>
      <c r="AB11" s="597"/>
      <c r="AC11" s="597"/>
      <c r="AD11" s="597"/>
    </row>
    <row r="12" spans="1:30" ht="29.4" thickTop="1">
      <c r="A12" s="581">
        <v>9</v>
      </c>
      <c r="B12" s="582" t="s">
        <v>420</v>
      </c>
      <c r="C12" s="582" t="s">
        <v>421</v>
      </c>
      <c r="D12" s="583">
        <v>1000000</v>
      </c>
      <c r="E12" s="582" t="s">
        <v>415</v>
      </c>
      <c r="F12" s="584" t="s">
        <v>460</v>
      </c>
      <c r="G12" s="584">
        <v>24</v>
      </c>
      <c r="H12" s="584">
        <v>1</v>
      </c>
      <c r="I12" s="585">
        <f>+'Data Worksheet'!F10</f>
        <v>0.02</v>
      </c>
      <c r="J12" s="600">
        <f t="shared" si="2"/>
        <v>0</v>
      </c>
      <c r="K12" s="600">
        <f t="shared" ref="K12:P12" si="26">IF($F12&lt;&gt;"x",0,IF($G12&gt;K$3,0,IF(K$3&gt;=$G12+$H12,J12*(1+$I12),$D12*(K$3-$G12+1)/$H12)))</f>
        <v>0</v>
      </c>
      <c r="L12" s="600">
        <f t="shared" si="26"/>
        <v>0</v>
      </c>
      <c r="M12" s="600">
        <f t="shared" si="26"/>
        <v>1000000</v>
      </c>
      <c r="N12" s="600">
        <f t="shared" si="26"/>
        <v>1020000</v>
      </c>
      <c r="O12" s="600">
        <f t="shared" si="26"/>
        <v>1040400</v>
      </c>
      <c r="P12" s="600">
        <f t="shared" si="26"/>
        <v>1061208</v>
      </c>
      <c r="Q12" s="564"/>
    </row>
    <row r="13" spans="1:30" ht="28.8">
      <c r="A13" s="576">
        <v>10</v>
      </c>
      <c r="B13" s="577" t="s">
        <v>420</v>
      </c>
      <c r="C13" s="577" t="s">
        <v>422</v>
      </c>
      <c r="D13" s="578">
        <v>1700000</v>
      </c>
      <c r="E13" s="577" t="s">
        <v>26</v>
      </c>
      <c r="F13" s="579"/>
      <c r="G13" s="579">
        <v>22</v>
      </c>
      <c r="H13" s="579">
        <v>2</v>
      </c>
      <c r="I13" s="580">
        <v>0</v>
      </c>
      <c r="J13" s="601">
        <f t="shared" si="2"/>
        <v>0</v>
      </c>
      <c r="K13" s="601">
        <f t="shared" ref="K13:P13" si="27">IF($F13&lt;&gt;"x",0,IF($G13&gt;K$3,0,IF(K$3&gt;=$G13+$H13,J13*(1+$I13),$D13*(K$3-$G13+1)/$H13)))</f>
        <v>0</v>
      </c>
      <c r="L13" s="601">
        <f t="shared" si="27"/>
        <v>0</v>
      </c>
      <c r="M13" s="601">
        <f t="shared" si="27"/>
        <v>0</v>
      </c>
      <c r="N13" s="601">
        <f t="shared" si="27"/>
        <v>0</v>
      </c>
      <c r="O13" s="601">
        <f t="shared" si="27"/>
        <v>0</v>
      </c>
      <c r="P13" s="601">
        <f t="shared" si="27"/>
        <v>0</v>
      </c>
      <c r="Q13" s="564"/>
    </row>
    <row r="14" spans="1:30" ht="28.8">
      <c r="A14" s="581">
        <v>11</v>
      </c>
      <c r="B14" s="582" t="s">
        <v>420</v>
      </c>
      <c r="C14" s="582" t="s">
        <v>423</v>
      </c>
      <c r="D14" s="583">
        <v>400000</v>
      </c>
      <c r="E14" s="582" t="s">
        <v>38</v>
      </c>
      <c r="F14" s="584" t="s">
        <v>460</v>
      </c>
      <c r="G14" s="584">
        <v>22</v>
      </c>
      <c r="H14" s="584">
        <v>3</v>
      </c>
      <c r="I14" s="585">
        <f>+'Data Worksheet'!F7</f>
        <v>1.4999999999999999E-2</v>
      </c>
      <c r="J14" s="600">
        <f t="shared" si="2"/>
        <v>0</v>
      </c>
      <c r="K14" s="600">
        <f t="shared" ref="K14:P14" si="28">IF($F14&lt;&gt;"x",0,IF($G14&gt;K$3,0,IF(K$3&gt;=$G14+$H14,J14*(1+$I14),$D14*(K$3-$G14+1)/$H14)))</f>
        <v>133333.33333333334</v>
      </c>
      <c r="L14" s="600">
        <f t="shared" si="28"/>
        <v>266666.66666666669</v>
      </c>
      <c r="M14" s="600">
        <f t="shared" si="28"/>
        <v>400000</v>
      </c>
      <c r="N14" s="600">
        <f t="shared" si="28"/>
        <v>405999.99999999994</v>
      </c>
      <c r="O14" s="600">
        <f t="shared" si="28"/>
        <v>412089.99999999988</v>
      </c>
      <c r="P14" s="600">
        <f t="shared" si="28"/>
        <v>418271.34999999986</v>
      </c>
      <c r="Q14" s="564"/>
    </row>
    <row r="15" spans="1:30" ht="28.8">
      <c r="A15" s="576">
        <v>12</v>
      </c>
      <c r="B15" s="577" t="s">
        <v>420</v>
      </c>
      <c r="C15" s="577" t="s">
        <v>424</v>
      </c>
      <c r="D15" s="578">
        <v>200000</v>
      </c>
      <c r="E15" s="577" t="s">
        <v>38</v>
      </c>
      <c r="F15" s="579"/>
      <c r="G15" s="579">
        <v>27</v>
      </c>
      <c r="H15" s="579">
        <v>1</v>
      </c>
      <c r="I15" s="580">
        <v>0.03</v>
      </c>
      <c r="J15" s="601">
        <f t="shared" si="2"/>
        <v>0</v>
      </c>
      <c r="K15" s="601">
        <f t="shared" ref="K15:P15" si="29">IF($F15&lt;&gt;"x",0,IF($G15&gt;K$3,0,IF(K$3&gt;=$G15+$H15,J15*(1+$I15),$D15*(K$3-$G15+1)/$H15)))</f>
        <v>0</v>
      </c>
      <c r="L15" s="601">
        <f t="shared" si="29"/>
        <v>0</v>
      </c>
      <c r="M15" s="601">
        <f t="shared" si="29"/>
        <v>0</v>
      </c>
      <c r="N15" s="601">
        <f t="shared" si="29"/>
        <v>0</v>
      </c>
      <c r="O15" s="601">
        <f t="shared" si="29"/>
        <v>0</v>
      </c>
      <c r="P15" s="601">
        <f t="shared" si="29"/>
        <v>0</v>
      </c>
      <c r="Q15" s="564"/>
    </row>
    <row r="16" spans="1:30" ht="28.8">
      <c r="A16" s="581">
        <v>13</v>
      </c>
      <c r="B16" s="582" t="s">
        <v>420</v>
      </c>
      <c r="C16" s="582" t="s">
        <v>374</v>
      </c>
      <c r="D16" s="583">
        <v>583000</v>
      </c>
      <c r="E16" s="582" t="s">
        <v>26</v>
      </c>
      <c r="F16" s="584" t="s">
        <v>460</v>
      </c>
      <c r="G16" s="584">
        <v>27</v>
      </c>
      <c r="H16" s="584">
        <v>1</v>
      </c>
      <c r="I16" s="585">
        <f>+'Data Worksheet'!F11</f>
        <v>0.03</v>
      </c>
      <c r="J16" s="600">
        <f t="shared" si="2"/>
        <v>0</v>
      </c>
      <c r="K16" s="600">
        <f t="shared" ref="K16:P16" si="30">IF($F16&lt;&gt;"x",0,IF($G16&gt;K$3,0,IF(K$3&gt;=$G16+$H16,J16*(1+$I16),$D16*(K$3-$G16+1)/$H16)))</f>
        <v>0</v>
      </c>
      <c r="L16" s="600">
        <f t="shared" si="30"/>
        <v>0</v>
      </c>
      <c r="M16" s="600">
        <f t="shared" si="30"/>
        <v>0</v>
      </c>
      <c r="N16" s="600">
        <f t="shared" si="30"/>
        <v>0</v>
      </c>
      <c r="O16" s="600">
        <f t="shared" si="30"/>
        <v>0</v>
      </c>
      <c r="P16" s="600">
        <f t="shared" si="30"/>
        <v>583000</v>
      </c>
      <c r="Q16" s="564"/>
    </row>
    <row r="17" spans="1:17" ht="28.8">
      <c r="A17" s="576">
        <v>14</v>
      </c>
      <c r="B17" s="577" t="s">
        <v>420</v>
      </c>
      <c r="C17" s="577" t="s">
        <v>425</v>
      </c>
      <c r="D17" s="578">
        <v>50000</v>
      </c>
      <c r="E17" s="577" t="s">
        <v>414</v>
      </c>
      <c r="F17" s="579"/>
      <c r="G17" s="579">
        <v>22</v>
      </c>
      <c r="H17" s="579">
        <v>1</v>
      </c>
      <c r="I17" s="580">
        <v>0.03</v>
      </c>
      <c r="J17" s="601">
        <f t="shared" si="2"/>
        <v>0</v>
      </c>
      <c r="K17" s="601">
        <f t="shared" ref="K17:P17" si="31">IF($F17&lt;&gt;"x",0,IF($G17&gt;K$3,0,IF(K$3&gt;=$G17+$H17,J17*(1+$I17),$D17*(K$3-$G17+1)/$H17)))</f>
        <v>0</v>
      </c>
      <c r="L17" s="601">
        <f t="shared" si="31"/>
        <v>0</v>
      </c>
      <c r="M17" s="601">
        <f t="shared" si="31"/>
        <v>0</v>
      </c>
      <c r="N17" s="601">
        <f t="shared" si="31"/>
        <v>0</v>
      </c>
      <c r="O17" s="601">
        <f t="shared" si="31"/>
        <v>0</v>
      </c>
      <c r="P17" s="601">
        <f t="shared" si="31"/>
        <v>0</v>
      </c>
      <c r="Q17" s="564"/>
    </row>
    <row r="18" spans="1:17">
      <c r="A18" s="581">
        <v>15</v>
      </c>
      <c r="B18" s="582" t="s">
        <v>426</v>
      </c>
      <c r="C18" s="582" t="s">
        <v>427</v>
      </c>
      <c r="D18" s="583">
        <v>485000</v>
      </c>
      <c r="E18" s="582" t="s">
        <v>414</v>
      </c>
      <c r="F18" s="584"/>
      <c r="G18" s="584">
        <v>22</v>
      </c>
      <c r="H18" s="584">
        <v>1</v>
      </c>
      <c r="I18" s="585">
        <f>+'Data Worksheet'!F7</f>
        <v>1.4999999999999999E-2</v>
      </c>
      <c r="J18" s="600">
        <f t="shared" si="2"/>
        <v>0</v>
      </c>
      <c r="K18" s="600">
        <f t="shared" ref="K18:P18" si="32">IF($F18&lt;&gt;"x",0,IF($G18&gt;K$3,0,IF(K$3&gt;=$G18+$H18,J18*(1+$I18),$D18*(K$3-$G18+1)/$H18)))</f>
        <v>0</v>
      </c>
      <c r="L18" s="600">
        <f t="shared" si="32"/>
        <v>0</v>
      </c>
      <c r="M18" s="600">
        <f t="shared" si="32"/>
        <v>0</v>
      </c>
      <c r="N18" s="600">
        <f t="shared" si="32"/>
        <v>0</v>
      </c>
      <c r="O18" s="600">
        <f t="shared" si="32"/>
        <v>0</v>
      </c>
      <c r="P18" s="600">
        <f t="shared" si="32"/>
        <v>0</v>
      </c>
      <c r="Q18" s="564"/>
    </row>
    <row r="19" spans="1:17">
      <c r="A19" s="576">
        <v>16</v>
      </c>
      <c r="B19" s="577" t="s">
        <v>426</v>
      </c>
      <c r="C19" s="577" t="s">
        <v>428</v>
      </c>
      <c r="D19" s="578">
        <v>540000</v>
      </c>
      <c r="E19" s="577" t="s">
        <v>414</v>
      </c>
      <c r="F19" s="579"/>
      <c r="G19" s="579">
        <v>22</v>
      </c>
      <c r="H19" s="579">
        <v>1</v>
      </c>
      <c r="I19" s="580">
        <f>+'Data Worksheet'!F9</f>
        <v>0.03</v>
      </c>
      <c r="J19" s="601">
        <f t="shared" si="2"/>
        <v>0</v>
      </c>
      <c r="K19" s="601">
        <f t="shared" ref="K19:P19" si="33">IF($F19&lt;&gt;"x",0,IF($G19&gt;K$3,0,IF(K$3&gt;=$G19+$H19,J19*(1+$I19),$D19*(K$3-$G19+1)/$H19)))</f>
        <v>0</v>
      </c>
      <c r="L19" s="601">
        <f t="shared" si="33"/>
        <v>0</v>
      </c>
      <c r="M19" s="601">
        <f t="shared" si="33"/>
        <v>0</v>
      </c>
      <c r="N19" s="601">
        <f t="shared" si="33"/>
        <v>0</v>
      </c>
      <c r="O19" s="601">
        <f t="shared" si="33"/>
        <v>0</v>
      </c>
      <c r="P19" s="601">
        <f t="shared" si="33"/>
        <v>0</v>
      </c>
      <c r="Q19" s="564"/>
    </row>
    <row r="20" spans="1:17" ht="28.8">
      <c r="A20" s="581">
        <v>17</v>
      </c>
      <c r="B20" s="582" t="s">
        <v>426</v>
      </c>
      <c r="C20" s="582" t="s">
        <v>429</v>
      </c>
      <c r="D20" s="583">
        <v>458000</v>
      </c>
      <c r="E20" s="582" t="s">
        <v>414</v>
      </c>
      <c r="F20" s="584"/>
      <c r="G20" s="584">
        <v>24</v>
      </c>
      <c r="H20" s="584">
        <v>1</v>
      </c>
      <c r="I20" s="585">
        <f>+'Data Worksheet'!F7</f>
        <v>1.4999999999999999E-2</v>
      </c>
      <c r="J20" s="600">
        <f t="shared" si="2"/>
        <v>0</v>
      </c>
      <c r="K20" s="600">
        <f t="shared" ref="K20:P21" si="34">IF($F20&lt;&gt;"x",0,IF($G20&gt;K$3,0,IF(K$3&gt;=$G20+$H20,J20*(1+$I20),$D20*(K$3-$G20+1)/$H20)))</f>
        <v>0</v>
      </c>
      <c r="L20" s="600">
        <f t="shared" si="34"/>
        <v>0</v>
      </c>
      <c r="M20" s="600">
        <f t="shared" si="34"/>
        <v>0</v>
      </c>
      <c r="N20" s="600">
        <f t="shared" si="34"/>
        <v>0</v>
      </c>
      <c r="O20" s="600">
        <f t="shared" si="34"/>
        <v>0</v>
      </c>
      <c r="P20" s="600">
        <f t="shared" si="34"/>
        <v>0</v>
      </c>
      <c r="Q20" s="564"/>
    </row>
    <row r="21" spans="1:17">
      <c r="A21" s="576">
        <v>18</v>
      </c>
      <c r="B21" s="577" t="s">
        <v>442</v>
      </c>
      <c r="C21" s="577" t="s">
        <v>430</v>
      </c>
      <c r="D21" s="578">
        <v>10000</v>
      </c>
      <c r="E21" s="577" t="s">
        <v>431</v>
      </c>
      <c r="F21" s="602"/>
      <c r="G21" s="602">
        <v>27</v>
      </c>
      <c r="H21" s="602">
        <v>1</v>
      </c>
      <c r="I21" s="603">
        <v>-1</v>
      </c>
      <c r="J21" s="604">
        <f t="shared" si="2"/>
        <v>0</v>
      </c>
      <c r="K21" s="604">
        <f t="shared" si="34"/>
        <v>0</v>
      </c>
      <c r="L21" s="604">
        <f t="shared" si="34"/>
        <v>0</v>
      </c>
      <c r="M21" s="604">
        <f t="shared" si="34"/>
        <v>0</v>
      </c>
      <c r="N21" s="604">
        <f t="shared" si="34"/>
        <v>0</v>
      </c>
      <c r="O21" s="604">
        <f t="shared" si="34"/>
        <v>0</v>
      </c>
      <c r="P21" s="604">
        <f t="shared" si="34"/>
        <v>0</v>
      </c>
      <c r="Q21" s="564"/>
    </row>
    <row r="22" spans="1:17" ht="43.2">
      <c r="A22" s="581">
        <v>19</v>
      </c>
      <c r="B22" s="582" t="s">
        <v>442</v>
      </c>
      <c r="C22" s="582" t="s">
        <v>432</v>
      </c>
      <c r="D22" s="583">
        <v>325000</v>
      </c>
      <c r="E22" s="582" t="s">
        <v>414</v>
      </c>
      <c r="F22" s="584"/>
      <c r="G22" s="584">
        <v>26</v>
      </c>
      <c r="H22" s="584">
        <v>2</v>
      </c>
      <c r="I22" s="585">
        <v>0.03</v>
      </c>
      <c r="J22" s="600">
        <f t="shared" si="2"/>
        <v>0</v>
      </c>
      <c r="K22" s="600">
        <f t="shared" ref="K22:P22" si="35">IF($F22&lt;&gt;"x",0,IF($G22&gt;K$3,0,IF(K$3&gt;=$G22+$H22,J22*(1+$I22),$D22*(K$3-$G22+1)/$H22)))</f>
        <v>0</v>
      </c>
      <c r="L22" s="600">
        <f t="shared" si="35"/>
        <v>0</v>
      </c>
      <c r="M22" s="600">
        <f t="shared" si="35"/>
        <v>0</v>
      </c>
      <c r="N22" s="600">
        <f t="shared" si="35"/>
        <v>0</v>
      </c>
      <c r="O22" s="600">
        <f t="shared" si="35"/>
        <v>0</v>
      </c>
      <c r="P22" s="600">
        <f t="shared" si="35"/>
        <v>0</v>
      </c>
      <c r="Q22" s="564"/>
    </row>
    <row r="23" spans="1:17" ht="28.8">
      <c r="A23" s="576">
        <v>20</v>
      </c>
      <c r="B23" s="577" t="s">
        <v>442</v>
      </c>
      <c r="C23" s="577" t="s">
        <v>433</v>
      </c>
      <c r="D23" s="578">
        <v>600000</v>
      </c>
      <c r="E23" s="577" t="s">
        <v>414</v>
      </c>
      <c r="F23" s="579"/>
      <c r="G23" s="579">
        <v>26</v>
      </c>
      <c r="H23" s="579">
        <v>1</v>
      </c>
      <c r="I23" s="580">
        <v>0.03</v>
      </c>
      <c r="J23" s="601">
        <f t="shared" si="2"/>
        <v>0</v>
      </c>
      <c r="K23" s="601">
        <f t="shared" ref="K23:P23" si="36">IF($F23&lt;&gt;"x",0,IF($G23&gt;K$3,0,IF(K$3&gt;=$G23+$H23,J23*(1+$I23),$D23*(K$3-$G23+1)/$H23)))</f>
        <v>0</v>
      </c>
      <c r="L23" s="601">
        <f t="shared" si="36"/>
        <v>0</v>
      </c>
      <c r="M23" s="601">
        <f t="shared" si="36"/>
        <v>0</v>
      </c>
      <c r="N23" s="601">
        <f t="shared" si="36"/>
        <v>0</v>
      </c>
      <c r="O23" s="601">
        <f t="shared" si="36"/>
        <v>0</v>
      </c>
      <c r="P23" s="601">
        <f t="shared" si="36"/>
        <v>0</v>
      </c>
      <c r="Q23" s="564"/>
    </row>
    <row r="24" spans="1:17" ht="28.8">
      <c r="A24" s="586">
        <v>21</v>
      </c>
      <c r="B24" s="563" t="s">
        <v>442</v>
      </c>
      <c r="C24" s="563" t="s">
        <v>434</v>
      </c>
      <c r="D24" s="587">
        <v>50000</v>
      </c>
      <c r="E24" s="563" t="s">
        <v>26</v>
      </c>
      <c r="F24" s="588"/>
      <c r="G24" s="588">
        <v>21</v>
      </c>
      <c r="H24" s="588">
        <v>1</v>
      </c>
      <c r="I24" s="589">
        <v>0.03</v>
      </c>
      <c r="J24" s="600">
        <f t="shared" si="2"/>
        <v>0</v>
      </c>
      <c r="K24" s="600">
        <f t="shared" ref="K24:P24" si="37">IF($F24&lt;&gt;"x",0,IF($G24&gt;K$3,0,IF(K$3&gt;=$G24+$H24,J24*(1+$I24),$D24*(K$3-$G24+1)/$H24)))</f>
        <v>0</v>
      </c>
      <c r="L24" s="600">
        <f t="shared" si="37"/>
        <v>0</v>
      </c>
      <c r="M24" s="600">
        <f t="shared" si="37"/>
        <v>0</v>
      </c>
      <c r="N24" s="600">
        <f t="shared" si="37"/>
        <v>0</v>
      </c>
      <c r="O24" s="600">
        <f t="shared" si="37"/>
        <v>0</v>
      </c>
      <c r="P24" s="600">
        <f t="shared" si="37"/>
        <v>0</v>
      </c>
      <c r="Q24" s="564"/>
    </row>
    <row r="25" spans="1:17" ht="28.8">
      <c r="A25" s="576">
        <v>22</v>
      </c>
      <c r="B25" s="577" t="s">
        <v>442</v>
      </c>
      <c r="C25" s="577" t="s">
        <v>456</v>
      </c>
      <c r="D25" s="578">
        <v>90000</v>
      </c>
      <c r="E25" s="577" t="s">
        <v>26</v>
      </c>
      <c r="F25" s="579"/>
      <c r="G25" s="579">
        <v>21</v>
      </c>
      <c r="H25" s="579">
        <v>1</v>
      </c>
      <c r="I25" s="580">
        <v>0.03</v>
      </c>
      <c r="J25" s="601">
        <f t="shared" si="2"/>
        <v>0</v>
      </c>
      <c r="K25" s="601">
        <f t="shared" ref="K25:P25" si="38">IF($F25&lt;&gt;"x",0,IF($G25&gt;K$3,0,IF(K$3&gt;=$G25+$H25,J25*(1+$I25),$D25*(K$3-$G25+1)/$H25)))</f>
        <v>0</v>
      </c>
      <c r="L25" s="601">
        <f t="shared" si="38"/>
        <v>0</v>
      </c>
      <c r="M25" s="601">
        <f t="shared" si="38"/>
        <v>0</v>
      </c>
      <c r="N25" s="601">
        <f t="shared" si="38"/>
        <v>0</v>
      </c>
      <c r="O25" s="601">
        <f t="shared" si="38"/>
        <v>0</v>
      </c>
      <c r="P25" s="601">
        <f t="shared" si="38"/>
        <v>0</v>
      </c>
    </row>
    <row r="50" spans="18:30">
      <c r="S50" s="592" t="s">
        <v>361</v>
      </c>
      <c r="T50" s="592" t="s">
        <v>362</v>
      </c>
      <c r="U50" s="592" t="s">
        <v>363</v>
      </c>
      <c r="V50" s="592" t="s">
        <v>364</v>
      </c>
      <c r="W50" s="592" t="s">
        <v>365</v>
      </c>
      <c r="X50" s="592" t="s">
        <v>366</v>
      </c>
      <c r="Y50" s="592" t="s">
        <v>370</v>
      </c>
      <c r="Z50" s="592" t="s">
        <v>371</v>
      </c>
      <c r="AA50" s="596"/>
      <c r="AB50" s="596"/>
      <c r="AC50" s="596"/>
      <c r="AD50" s="596"/>
    </row>
    <row r="51" spans="18:30">
      <c r="R51" t="s">
        <v>452</v>
      </c>
      <c r="S51" s="7">
        <f>+'Recession Forecast'!C58</f>
        <v>3500000</v>
      </c>
      <c r="T51" s="7">
        <f>+'Recession Forecast'!D58</f>
        <v>3554365.7086000014</v>
      </c>
      <c r="U51" s="7">
        <f>+T54</f>
        <v>3010205.0164880008</v>
      </c>
      <c r="V51" s="7">
        <f t="shared" ref="V51:Z51" si="39">+U54</f>
        <v>2826433.3520920514</v>
      </c>
      <c r="W51" s="7">
        <f t="shared" si="39"/>
        <v>2448219.1049449071</v>
      </c>
      <c r="X51" s="7">
        <f t="shared" si="39"/>
        <v>3180002.0595181463</v>
      </c>
      <c r="Y51" s="7">
        <f t="shared" si="39"/>
        <v>3593696.0089297667</v>
      </c>
      <c r="Z51" s="7">
        <f t="shared" si="39"/>
        <v>3665983.4749355391</v>
      </c>
      <c r="AA51" s="7"/>
      <c r="AB51" s="7"/>
      <c r="AC51" s="7"/>
      <c r="AD51" s="7"/>
    </row>
    <row r="52" spans="18:30">
      <c r="R52" t="s">
        <v>450</v>
      </c>
      <c r="S52" s="7">
        <f>+'Recession Forecast'!D55</f>
        <v>54365.70860000141</v>
      </c>
      <c r="T52" s="7">
        <f>+'Recession Forecast'!E55</f>
        <v>-599160.69211200066</v>
      </c>
      <c r="U52" s="7">
        <f>+'Recession Forecast'!F55</f>
        <v>-373754.99772928283</v>
      </c>
      <c r="V52" s="7">
        <f>+'Recession Forecast'!G55</f>
        <v>-703230.4138138108</v>
      </c>
      <c r="W52" s="7">
        <f>+'Recession Forecast'!H55</f>
        <v>-728317.03042676114</v>
      </c>
      <c r="X52" s="7">
        <f>+'Recession Forecast'!I55</f>
        <v>-1074209.0351383798</v>
      </c>
      <c r="Y52" s="7">
        <f>+'Recession Forecast'!J55</f>
        <v>-1443962.608080728</v>
      </c>
      <c r="Z52" s="7">
        <f>+'Recession Forecast'!K55</f>
        <v>-1811508.3878684584</v>
      </c>
      <c r="AA52" s="7"/>
      <c r="AB52" s="7"/>
      <c r="AC52" s="7"/>
      <c r="AD52" s="7"/>
    </row>
    <row r="53" spans="18:30">
      <c r="R53" t="s">
        <v>451</v>
      </c>
      <c r="S53" s="594">
        <f t="shared" ref="S53:Z53" si="40">+S11</f>
        <v>0</v>
      </c>
      <c r="T53" s="594">
        <f t="shared" si="40"/>
        <v>55000</v>
      </c>
      <c r="U53" s="594">
        <f t="shared" si="40"/>
        <v>189983.33333333334</v>
      </c>
      <c r="V53" s="594">
        <f t="shared" si="40"/>
        <v>325016.16666666669</v>
      </c>
      <c r="W53" s="594">
        <f t="shared" si="40"/>
        <v>1460099.9850000001</v>
      </c>
      <c r="X53" s="594">
        <f t="shared" si="40"/>
        <v>1487902.9845499999</v>
      </c>
      <c r="Y53" s="594">
        <f t="shared" si="40"/>
        <v>1516250.0740865001</v>
      </c>
      <c r="Z53" s="594">
        <f t="shared" si="40"/>
        <v>2128152.226309095</v>
      </c>
      <c r="AA53" s="594"/>
      <c r="AB53" s="594"/>
      <c r="AC53" s="594"/>
      <c r="AD53" s="594"/>
    </row>
    <row r="54" spans="18:30" ht="15" thickBot="1">
      <c r="R54" t="s">
        <v>453</v>
      </c>
      <c r="S54" s="595">
        <f>SUM(S51:S53)</f>
        <v>3554365.7086000014</v>
      </c>
      <c r="T54" s="595">
        <f>SUM(T51:T53)</f>
        <v>3010205.0164880008</v>
      </c>
      <c r="U54" s="595">
        <f t="shared" ref="U54:Z54" si="41">SUM(U51:U53)</f>
        <v>2826433.3520920514</v>
      </c>
      <c r="V54" s="595">
        <f t="shared" si="41"/>
        <v>2448219.1049449071</v>
      </c>
      <c r="W54" s="595">
        <f t="shared" si="41"/>
        <v>3180002.0595181463</v>
      </c>
      <c r="X54" s="595">
        <f t="shared" si="41"/>
        <v>3593696.0089297667</v>
      </c>
      <c r="Y54" s="595">
        <f t="shared" si="41"/>
        <v>3665983.4749355391</v>
      </c>
      <c r="Z54" s="595">
        <f t="shared" si="41"/>
        <v>3982627.3133761757</v>
      </c>
      <c r="AA54" s="598"/>
      <c r="AB54" s="598"/>
      <c r="AC54" s="598"/>
      <c r="AD54" s="598"/>
    </row>
    <row r="55" spans="18:30" ht="15" thickTop="1">
      <c r="R55" t="s">
        <v>454</v>
      </c>
      <c r="S55" s="7">
        <f>Dashboard!E217</f>
        <v>2477258.1622800003</v>
      </c>
      <c r="T55" s="7">
        <f>Dashboard!F217</f>
        <v>2621007.5070168003</v>
      </c>
      <c r="U55" s="7">
        <f>Dashboard!G217</f>
        <v>2736808.0350526082</v>
      </c>
      <c r="V55" s="7">
        <f>Dashboard!H217</f>
        <v>2894259.2205367684</v>
      </c>
      <c r="W55" s="7">
        <f>Dashboard!I217</f>
        <v>2992296.9818255594</v>
      </c>
      <c r="X55" s="7">
        <f>Dashboard!J217</f>
        <v>3104875.4845911767</v>
      </c>
      <c r="Y55" s="7">
        <f>Dashboard!K217</f>
        <v>3221954.7412138521</v>
      </c>
      <c r="Z55" s="7">
        <f>Dashboard!L217</f>
        <v>3343725.305109228</v>
      </c>
      <c r="AA55" s="7"/>
      <c r="AB55" s="7"/>
      <c r="AC55" s="7"/>
      <c r="AD55" s="7"/>
    </row>
    <row r="56" spans="18:30">
      <c r="R56" s="605" t="s">
        <v>455</v>
      </c>
      <c r="S56" s="7">
        <f>+S52+S53</f>
        <v>54365.70860000141</v>
      </c>
      <c r="T56" s="7">
        <f>+T52+T53</f>
        <v>-544160.69211200066</v>
      </c>
      <c r="U56" s="7">
        <f t="shared" ref="U56:Z56" si="42">+U52+U53</f>
        <v>-183771.66439594948</v>
      </c>
      <c r="V56" s="7">
        <f t="shared" si="42"/>
        <v>-378214.24714714411</v>
      </c>
      <c r="W56" s="7">
        <f t="shared" si="42"/>
        <v>731782.95457323897</v>
      </c>
      <c r="X56" s="7">
        <f t="shared" si="42"/>
        <v>413693.94941162015</v>
      </c>
      <c r="Y56" s="7">
        <f t="shared" si="42"/>
        <v>72287.466005772119</v>
      </c>
      <c r="Z56" s="7">
        <f t="shared" si="42"/>
        <v>316643.83844063664</v>
      </c>
      <c r="AA56" s="7"/>
      <c r="AB56" s="7"/>
      <c r="AC56" s="7"/>
      <c r="AD56" s="7"/>
    </row>
    <row r="136" spans="4:4">
      <c r="D136" s="562"/>
    </row>
    <row r="137" spans="4:4">
      <c r="D137" s="562"/>
    </row>
    <row r="138" spans="4:4">
      <c r="D138" s="562"/>
    </row>
    <row r="139" spans="4:4">
      <c r="D139" s="562"/>
    </row>
    <row r="140" spans="4:4">
      <c r="D140" s="562"/>
    </row>
    <row r="141" spans="4:4">
      <c r="D141" s="562"/>
    </row>
    <row r="142" spans="4:4">
      <c r="D142" s="562"/>
    </row>
    <row r="143" spans="4:4">
      <c r="D143" s="562"/>
    </row>
    <row r="144" spans="4:4">
      <c r="D144" s="562"/>
    </row>
    <row r="145" spans="4:4">
      <c r="D145" s="562"/>
    </row>
    <row r="146" spans="4:4">
      <c r="D146" s="562"/>
    </row>
    <row r="147" spans="4:4">
      <c r="D147" s="562"/>
    </row>
    <row r="148" spans="4:4">
      <c r="D148" s="562"/>
    </row>
  </sheetData>
  <sheetProtection algorithmName="SHA-512" hashValue="0grH3+OU+fU/Ug89R8KQfdae8N99km7bF6p3CV+iWu236e6q4pg2vm3DVOevYaaAlNkNrIpdBNe/ZLVrUKXqXA==" saltValue="el8wssbX9SnS7Yrpgm2zgw==" spinCount="100000" sheet="1" objects="1" scenarios="1" selectLockedCells="1" selectUnlockedCells="1"/>
  <phoneticPr fontId="5" type="noConversion"/>
  <conditionalFormatting sqref="C4:D25">
    <cfRule type="expression" dxfId="116" priority="1">
      <formula>$F4="x"</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C175-DC58-4D02-82B2-8EACDEB7CBA8}">
  <dimension ref="A1:AD148"/>
  <sheetViews>
    <sheetView zoomScaleNormal="100" workbookViewId="0">
      <selection activeCell="R1" sqref="R1:R2"/>
    </sheetView>
  </sheetViews>
  <sheetFormatPr defaultRowHeight="14.4"/>
  <cols>
    <col min="1" max="1" width="7" customWidth="1"/>
    <col min="2" max="2" width="18.33203125" customWidth="1"/>
    <col min="3" max="3" width="21.88671875" bestFit="1" customWidth="1"/>
    <col min="4" max="4" width="16.21875" bestFit="1" customWidth="1"/>
    <col min="5" max="5" width="14.109375" bestFit="1" customWidth="1"/>
    <col min="6" max="6" width="9" bestFit="1" customWidth="1"/>
    <col min="7" max="7" width="4.88671875" bestFit="1" customWidth="1"/>
    <col min="8" max="8" width="6.44140625" bestFit="1" customWidth="1"/>
    <col min="9" max="9" width="8" bestFit="1" customWidth="1"/>
    <col min="10" max="11" width="8.33203125" hidden="1" customWidth="1"/>
    <col min="12" max="16" width="9.77734375" hidden="1" customWidth="1"/>
    <col min="17" max="17" width="3.6640625" customWidth="1"/>
    <col min="18" max="18" width="26.88671875" customWidth="1"/>
    <col min="19" max="19" width="13" bestFit="1" customWidth="1"/>
    <col min="20" max="20" width="11.44140625" bestFit="1" customWidth="1"/>
    <col min="21" max="25" width="11.33203125" bestFit="1" customWidth="1"/>
    <col min="26" max="30" width="11.33203125" customWidth="1"/>
    <col min="33" max="33" width="8.88671875" customWidth="1"/>
  </cols>
  <sheetData>
    <row r="1" spans="1:30">
      <c r="A1" s="1" t="s">
        <v>409</v>
      </c>
      <c r="B1" s="1"/>
      <c r="R1" t="s">
        <v>462</v>
      </c>
    </row>
    <row r="2" spans="1:30">
      <c r="A2" s="1" t="s">
        <v>410</v>
      </c>
      <c r="B2" s="1"/>
      <c r="R2" t="s">
        <v>463</v>
      </c>
    </row>
    <row r="3" spans="1:30" ht="28.8">
      <c r="A3" s="566" t="s">
        <v>435</v>
      </c>
      <c r="B3" s="567" t="s">
        <v>249</v>
      </c>
      <c r="C3" s="567" t="s">
        <v>436</v>
      </c>
      <c r="D3" s="568" t="s">
        <v>437</v>
      </c>
      <c r="E3" s="567" t="s">
        <v>438</v>
      </c>
      <c r="F3" s="569" t="s">
        <v>439</v>
      </c>
      <c r="G3" s="569" t="s">
        <v>440</v>
      </c>
      <c r="H3" s="569" t="s">
        <v>457</v>
      </c>
      <c r="I3" s="570" t="s">
        <v>448</v>
      </c>
      <c r="J3" s="599">
        <v>21</v>
      </c>
      <c r="K3" s="599">
        <v>22</v>
      </c>
      <c r="L3" s="599">
        <v>23</v>
      </c>
      <c r="M3" s="599">
        <v>24</v>
      </c>
      <c r="N3" s="599">
        <v>25</v>
      </c>
      <c r="O3" s="599">
        <v>26</v>
      </c>
      <c r="P3" s="599">
        <v>27</v>
      </c>
      <c r="Q3" s="565"/>
      <c r="R3" s="591" t="s">
        <v>443</v>
      </c>
      <c r="S3" s="592" t="s">
        <v>361</v>
      </c>
      <c r="T3" s="592" t="s">
        <v>362</v>
      </c>
      <c r="U3" s="592" t="s">
        <v>363</v>
      </c>
      <c r="V3" s="592" t="s">
        <v>364</v>
      </c>
      <c r="W3" s="592" t="s">
        <v>365</v>
      </c>
      <c r="X3" s="592" t="s">
        <v>366</v>
      </c>
      <c r="Y3" s="592" t="s">
        <v>370</v>
      </c>
      <c r="Z3" s="592" t="s">
        <v>371</v>
      </c>
      <c r="AA3" s="596"/>
      <c r="AB3" s="596"/>
      <c r="AC3" s="596"/>
      <c r="AD3" s="596"/>
    </row>
    <row r="4" spans="1:30">
      <c r="A4" s="571">
        <v>1</v>
      </c>
      <c r="B4" s="572" t="s">
        <v>441</v>
      </c>
      <c r="C4" s="572" t="s">
        <v>458</v>
      </c>
      <c r="D4" s="573">
        <v>55000</v>
      </c>
      <c r="E4" s="572" t="s">
        <v>26</v>
      </c>
      <c r="F4" s="574" t="s">
        <v>460</v>
      </c>
      <c r="G4" s="574">
        <v>21</v>
      </c>
      <c r="H4" s="574">
        <v>1</v>
      </c>
      <c r="I4" s="575">
        <v>0.03</v>
      </c>
      <c r="J4" s="600">
        <f>IF($F4&lt;&gt;"x",0,IF($G4=J$3,$D4/$H4,0))</f>
        <v>55000</v>
      </c>
      <c r="K4" s="600">
        <f>IF($F4&lt;&gt;"x",0,IF($G4&gt;K$3,0,IF(K$3&gt;=$G4+$H4,J4*(1+$I4),$D4*(K$3-$G4+1)/$H4)))</f>
        <v>56650</v>
      </c>
      <c r="L4" s="600">
        <f t="shared" ref="L4:P4" si="0">IF($F4&lt;&gt;"x",0,IF($G4&gt;L$3,0,IF(L$3&gt;=$G4+$H4,K4*(1+$I4),$D4*(L$3-$G4+1)/$H4)))</f>
        <v>58349.5</v>
      </c>
      <c r="M4" s="600">
        <f t="shared" si="0"/>
        <v>60099.985000000001</v>
      </c>
      <c r="N4" s="600">
        <f t="shared" si="0"/>
        <v>61902.984550000001</v>
      </c>
      <c r="O4" s="600">
        <f t="shared" si="0"/>
        <v>63760.074086500004</v>
      </c>
      <c r="P4" s="600">
        <f t="shared" si="0"/>
        <v>65672.876309095009</v>
      </c>
      <c r="Q4" s="564"/>
      <c r="R4" t="s">
        <v>420</v>
      </c>
      <c r="S4" s="562">
        <v>0</v>
      </c>
      <c r="T4" s="562">
        <f>SUMIF($B$4:$B$25,$R4,J$4:J$25)</f>
        <v>0</v>
      </c>
      <c r="U4" s="562">
        <f t="shared" ref="U4:Z5" si="1">SUMIF($B$4:$B$25,$R4,K$4:K$25)</f>
        <v>983333.33333333337</v>
      </c>
      <c r="V4" s="562">
        <f t="shared" si="1"/>
        <v>1966666.6666666667</v>
      </c>
      <c r="W4" s="562">
        <f t="shared" si="1"/>
        <v>2100000</v>
      </c>
      <c r="X4" s="562">
        <f t="shared" si="1"/>
        <v>2106000</v>
      </c>
      <c r="Y4" s="562">
        <f t="shared" si="1"/>
        <v>2112090</v>
      </c>
      <c r="Z4" s="562">
        <f t="shared" si="1"/>
        <v>2118271.3499999996</v>
      </c>
      <c r="AA4" s="562"/>
      <c r="AB4" s="562"/>
      <c r="AC4" s="562"/>
      <c r="AD4" s="562"/>
    </row>
    <row r="5" spans="1:30">
      <c r="A5" s="576">
        <v>2</v>
      </c>
      <c r="B5" s="577" t="s">
        <v>441</v>
      </c>
      <c r="C5" s="577" t="s">
        <v>411</v>
      </c>
      <c r="D5" s="578">
        <v>50000</v>
      </c>
      <c r="E5" s="577" t="s">
        <v>26</v>
      </c>
      <c r="F5" s="579"/>
      <c r="G5" s="579">
        <v>26</v>
      </c>
      <c r="H5" s="579">
        <v>1</v>
      </c>
      <c r="I5" s="580">
        <v>0.03</v>
      </c>
      <c r="J5" s="601">
        <f t="shared" ref="J5:J25" si="2">IF($F5&lt;&gt;"x",0,IF($G5=J$3,$D5/$H5,0))</f>
        <v>0</v>
      </c>
      <c r="K5" s="601">
        <f t="shared" ref="K5:P20" si="3">IF($F5&lt;&gt;"x",0,IF($G5&gt;K$3,0,IF(K$3&gt;=$G5+$H5,J5*(1+$I5),$D5*(K$3-$G5+1)/$H5)))</f>
        <v>0</v>
      </c>
      <c r="L5" s="601">
        <f t="shared" si="3"/>
        <v>0</v>
      </c>
      <c r="M5" s="601">
        <f t="shared" si="3"/>
        <v>0</v>
      </c>
      <c r="N5" s="601">
        <f t="shared" si="3"/>
        <v>0</v>
      </c>
      <c r="O5" s="601">
        <f t="shared" si="3"/>
        <v>0</v>
      </c>
      <c r="P5" s="601">
        <f t="shared" si="3"/>
        <v>0</v>
      </c>
      <c r="Q5" s="564"/>
      <c r="R5" t="s">
        <v>426</v>
      </c>
      <c r="S5" s="562">
        <v>0</v>
      </c>
      <c r="T5" s="562">
        <f>SUMIF($B$4:$B$25,$R5,J$4:J$25)</f>
        <v>0</v>
      </c>
      <c r="U5" s="562">
        <f t="shared" si="1"/>
        <v>0</v>
      </c>
      <c r="V5" s="562">
        <f t="shared" si="1"/>
        <v>0</v>
      </c>
      <c r="W5" s="562">
        <f t="shared" si="1"/>
        <v>0</v>
      </c>
      <c r="X5" s="562">
        <f t="shared" si="1"/>
        <v>0</v>
      </c>
      <c r="Y5" s="562">
        <f t="shared" si="1"/>
        <v>0</v>
      </c>
      <c r="Z5" s="562">
        <f t="shared" si="1"/>
        <v>0</v>
      </c>
      <c r="AA5" s="562"/>
      <c r="AB5" s="562"/>
      <c r="AC5" s="562"/>
      <c r="AD5" s="562"/>
    </row>
    <row r="6" spans="1:30">
      <c r="A6" s="581">
        <v>3</v>
      </c>
      <c r="B6" s="582" t="s">
        <v>441</v>
      </c>
      <c r="C6" s="582" t="s">
        <v>412</v>
      </c>
      <c r="D6" s="583">
        <v>50000</v>
      </c>
      <c r="E6" s="582" t="s">
        <v>56</v>
      </c>
      <c r="F6" s="584"/>
      <c r="G6" s="584">
        <v>22</v>
      </c>
      <c r="H6" s="584">
        <v>1</v>
      </c>
      <c r="I6" s="585">
        <v>0.03</v>
      </c>
      <c r="J6" s="600">
        <f t="shared" si="2"/>
        <v>0</v>
      </c>
      <c r="K6" s="600">
        <f t="shared" si="3"/>
        <v>0</v>
      </c>
      <c r="L6" s="600">
        <f t="shared" si="3"/>
        <v>0</v>
      </c>
      <c r="M6" s="600">
        <f t="shared" si="3"/>
        <v>0</v>
      </c>
      <c r="N6" s="600">
        <f t="shared" si="3"/>
        <v>0</v>
      </c>
      <c r="O6" s="600">
        <f t="shared" si="3"/>
        <v>0</v>
      </c>
      <c r="P6" s="600">
        <f t="shared" si="3"/>
        <v>0</v>
      </c>
      <c r="Q6" s="564"/>
      <c r="R6" s="1" t="s">
        <v>444</v>
      </c>
      <c r="S6" s="590">
        <f>SUM(S4:S5)</f>
        <v>0</v>
      </c>
      <c r="T6" s="590">
        <f>SUM(T4:T5)</f>
        <v>0</v>
      </c>
      <c r="U6" s="590">
        <f t="shared" ref="U6:Z6" si="4">SUM(U4:U5)</f>
        <v>983333.33333333337</v>
      </c>
      <c r="V6" s="590">
        <f t="shared" si="4"/>
        <v>1966666.6666666667</v>
      </c>
      <c r="W6" s="590">
        <f t="shared" si="4"/>
        <v>2100000</v>
      </c>
      <c r="X6" s="590">
        <f t="shared" si="4"/>
        <v>2106000</v>
      </c>
      <c r="Y6" s="590">
        <f t="shared" si="4"/>
        <v>2112090</v>
      </c>
      <c r="Z6" s="590">
        <f t="shared" si="4"/>
        <v>2118271.3499999996</v>
      </c>
      <c r="AA6" s="597"/>
      <c r="AB6" s="597"/>
      <c r="AC6" s="597"/>
      <c r="AD6" s="597"/>
    </row>
    <row r="7" spans="1:30" ht="43.2">
      <c r="A7" s="576">
        <v>4</v>
      </c>
      <c r="B7" s="577" t="s">
        <v>445</v>
      </c>
      <c r="C7" s="577" t="s">
        <v>413</v>
      </c>
      <c r="D7" s="578">
        <v>100000</v>
      </c>
      <c r="E7" s="577" t="s">
        <v>414</v>
      </c>
      <c r="F7" s="579"/>
      <c r="G7" s="579">
        <v>23</v>
      </c>
      <c r="H7" s="579">
        <v>1</v>
      </c>
      <c r="I7" s="580">
        <v>0.03</v>
      </c>
      <c r="J7" s="601">
        <f t="shared" si="2"/>
        <v>0</v>
      </c>
      <c r="K7" s="601">
        <f t="shared" si="3"/>
        <v>0</v>
      </c>
      <c r="L7" s="601">
        <f t="shared" si="3"/>
        <v>0</v>
      </c>
      <c r="M7" s="601">
        <f t="shared" si="3"/>
        <v>0</v>
      </c>
      <c r="N7" s="601">
        <f t="shared" si="3"/>
        <v>0</v>
      </c>
      <c r="O7" s="601">
        <f t="shared" si="3"/>
        <v>0</v>
      </c>
      <c r="P7" s="601">
        <f t="shared" si="3"/>
        <v>0</v>
      </c>
      <c r="Q7" s="564"/>
      <c r="R7" t="s">
        <v>441</v>
      </c>
      <c r="S7" s="562">
        <v>0</v>
      </c>
      <c r="T7" s="562">
        <f t="shared" ref="T7:Z9" si="5">SUMIF($B$4:$B$25,$R7,J$4:J$25)</f>
        <v>55000</v>
      </c>
      <c r="U7" s="562">
        <f t="shared" si="5"/>
        <v>56650</v>
      </c>
      <c r="V7" s="562">
        <f t="shared" si="5"/>
        <v>58349.5</v>
      </c>
      <c r="W7" s="562">
        <f t="shared" si="5"/>
        <v>60099.985000000001</v>
      </c>
      <c r="X7" s="562">
        <f t="shared" si="5"/>
        <v>61902.984550000001</v>
      </c>
      <c r="Y7" s="562">
        <f t="shared" si="5"/>
        <v>63760.074086500004</v>
      </c>
      <c r="Z7" s="562">
        <f t="shared" si="5"/>
        <v>65672.876309095009</v>
      </c>
      <c r="AA7" s="562"/>
      <c r="AB7" s="562"/>
      <c r="AC7" s="562"/>
      <c r="AD7" s="562"/>
    </row>
    <row r="8" spans="1:30" ht="28.8">
      <c r="A8" s="581">
        <v>5</v>
      </c>
      <c r="B8" s="582" t="s">
        <v>445</v>
      </c>
      <c r="C8" s="582" t="s">
        <v>449</v>
      </c>
      <c r="D8" s="583">
        <v>240000</v>
      </c>
      <c r="E8" s="582" t="s">
        <v>415</v>
      </c>
      <c r="F8" s="584"/>
      <c r="G8" s="584">
        <v>23</v>
      </c>
      <c r="H8" s="584">
        <v>2</v>
      </c>
      <c r="I8" s="585">
        <v>3.5000000000000003E-2</v>
      </c>
      <c r="J8" s="600">
        <f t="shared" si="2"/>
        <v>0</v>
      </c>
      <c r="K8" s="600">
        <f t="shared" si="3"/>
        <v>0</v>
      </c>
      <c r="L8" s="600">
        <f t="shared" si="3"/>
        <v>0</v>
      </c>
      <c r="M8" s="600">
        <f t="shared" si="3"/>
        <v>0</v>
      </c>
      <c r="N8" s="600">
        <f t="shared" si="3"/>
        <v>0</v>
      </c>
      <c r="O8" s="600">
        <f t="shared" si="3"/>
        <v>0</v>
      </c>
      <c r="P8" s="600">
        <f t="shared" si="3"/>
        <v>0</v>
      </c>
      <c r="Q8" s="564"/>
      <c r="R8" t="s">
        <v>445</v>
      </c>
      <c r="S8" s="562">
        <v>0</v>
      </c>
      <c r="T8" s="562">
        <f t="shared" si="5"/>
        <v>0</v>
      </c>
      <c r="U8" s="562">
        <f t="shared" si="5"/>
        <v>0</v>
      </c>
      <c r="V8" s="562">
        <f t="shared" si="5"/>
        <v>0</v>
      </c>
      <c r="W8" s="562">
        <f t="shared" si="5"/>
        <v>0</v>
      </c>
      <c r="X8" s="562">
        <f t="shared" si="5"/>
        <v>0</v>
      </c>
      <c r="Y8" s="562">
        <f t="shared" si="5"/>
        <v>0</v>
      </c>
      <c r="Z8" s="562">
        <f t="shared" si="5"/>
        <v>0</v>
      </c>
      <c r="AA8" s="562"/>
      <c r="AB8" s="562"/>
      <c r="AC8" s="562"/>
      <c r="AD8" s="562"/>
    </row>
    <row r="9" spans="1:30" ht="28.8">
      <c r="A9" s="576">
        <v>6</v>
      </c>
      <c r="B9" s="577" t="s">
        <v>445</v>
      </c>
      <c r="C9" s="577" t="s">
        <v>416</v>
      </c>
      <c r="D9" s="578">
        <v>50000</v>
      </c>
      <c r="E9" s="577" t="s">
        <v>56</v>
      </c>
      <c r="F9" s="579"/>
      <c r="G9" s="579">
        <v>24</v>
      </c>
      <c r="H9" s="579">
        <v>1</v>
      </c>
      <c r="I9" s="580">
        <v>0.03</v>
      </c>
      <c r="J9" s="601">
        <f t="shared" si="2"/>
        <v>0</v>
      </c>
      <c r="K9" s="601">
        <f t="shared" si="3"/>
        <v>0</v>
      </c>
      <c r="L9" s="601">
        <f t="shared" si="3"/>
        <v>0</v>
      </c>
      <c r="M9" s="601">
        <f t="shared" si="3"/>
        <v>0</v>
      </c>
      <c r="N9" s="601">
        <f t="shared" si="3"/>
        <v>0</v>
      </c>
      <c r="O9" s="601">
        <f t="shared" si="3"/>
        <v>0</v>
      </c>
      <c r="P9" s="601">
        <f t="shared" si="3"/>
        <v>0</v>
      </c>
      <c r="Q9" s="564"/>
      <c r="R9" t="s">
        <v>442</v>
      </c>
      <c r="S9" s="562">
        <v>0</v>
      </c>
      <c r="T9" s="562">
        <f t="shared" si="5"/>
        <v>0</v>
      </c>
      <c r="U9" s="562">
        <f t="shared" si="5"/>
        <v>0</v>
      </c>
      <c r="V9" s="562">
        <f t="shared" si="5"/>
        <v>0</v>
      </c>
      <c r="W9" s="562">
        <f t="shared" si="5"/>
        <v>0</v>
      </c>
      <c r="X9" s="562">
        <f t="shared" si="5"/>
        <v>0</v>
      </c>
      <c r="Y9" s="562">
        <f t="shared" si="5"/>
        <v>0</v>
      </c>
      <c r="Z9" s="562">
        <f t="shared" si="5"/>
        <v>0</v>
      </c>
      <c r="AA9" s="562"/>
      <c r="AB9" s="562"/>
      <c r="AC9" s="562"/>
      <c r="AD9" s="562"/>
    </row>
    <row r="10" spans="1:30" ht="28.8">
      <c r="A10" s="581">
        <v>7</v>
      </c>
      <c r="B10" s="582" t="s">
        <v>445</v>
      </c>
      <c r="C10" s="582" t="s">
        <v>417</v>
      </c>
      <c r="D10" s="583">
        <v>20000</v>
      </c>
      <c r="E10" s="582" t="s">
        <v>56</v>
      </c>
      <c r="F10" s="584"/>
      <c r="G10" s="584">
        <v>21</v>
      </c>
      <c r="H10" s="584">
        <v>1</v>
      </c>
      <c r="I10" s="585">
        <v>0.03</v>
      </c>
      <c r="J10" s="600">
        <f t="shared" si="2"/>
        <v>0</v>
      </c>
      <c r="K10" s="600">
        <f t="shared" si="3"/>
        <v>0</v>
      </c>
      <c r="L10" s="600">
        <f t="shared" si="3"/>
        <v>0</v>
      </c>
      <c r="M10" s="600">
        <f t="shared" si="3"/>
        <v>0</v>
      </c>
      <c r="N10" s="600">
        <f t="shared" si="3"/>
        <v>0</v>
      </c>
      <c r="O10" s="600">
        <f t="shared" si="3"/>
        <v>0</v>
      </c>
      <c r="P10" s="600">
        <f t="shared" si="3"/>
        <v>0</v>
      </c>
      <c r="Q10" s="564"/>
      <c r="R10" s="1" t="s">
        <v>446</v>
      </c>
      <c r="S10" s="590">
        <f>SUM(S7:S9)</f>
        <v>0</v>
      </c>
      <c r="T10" s="590">
        <f>SUM(T7:T9)</f>
        <v>55000</v>
      </c>
      <c r="U10" s="590">
        <f t="shared" ref="U10:Z10" si="6">SUM(U7:U9)</f>
        <v>56650</v>
      </c>
      <c r="V10" s="590">
        <f t="shared" si="6"/>
        <v>58349.5</v>
      </c>
      <c r="W10" s="590">
        <f t="shared" si="6"/>
        <v>60099.985000000001</v>
      </c>
      <c r="X10" s="590">
        <f t="shared" si="6"/>
        <v>61902.984550000001</v>
      </c>
      <c r="Y10" s="590">
        <f t="shared" si="6"/>
        <v>63760.074086500004</v>
      </c>
      <c r="Z10" s="590">
        <f t="shared" si="6"/>
        <v>65672.876309095009</v>
      </c>
      <c r="AA10" s="597"/>
      <c r="AB10" s="597"/>
      <c r="AC10" s="597"/>
      <c r="AD10" s="597"/>
    </row>
    <row r="11" spans="1:30" ht="29.4" thickBot="1">
      <c r="A11" s="576">
        <v>8</v>
      </c>
      <c r="B11" s="577" t="s">
        <v>445</v>
      </c>
      <c r="C11" s="577" t="s">
        <v>418</v>
      </c>
      <c r="D11" s="578" t="s">
        <v>419</v>
      </c>
      <c r="E11" s="577" t="s">
        <v>419</v>
      </c>
      <c r="F11" s="579"/>
      <c r="G11" s="579"/>
      <c r="H11" s="579">
        <v>1</v>
      </c>
      <c r="I11" s="580" t="s">
        <v>419</v>
      </c>
      <c r="J11" s="601">
        <f t="shared" si="2"/>
        <v>0</v>
      </c>
      <c r="K11" s="601">
        <f t="shared" si="3"/>
        <v>0</v>
      </c>
      <c r="L11" s="601">
        <f t="shared" si="3"/>
        <v>0</v>
      </c>
      <c r="M11" s="601">
        <f t="shared" si="3"/>
        <v>0</v>
      </c>
      <c r="N11" s="601">
        <f t="shared" si="3"/>
        <v>0</v>
      </c>
      <c r="O11" s="601">
        <f t="shared" si="3"/>
        <v>0</v>
      </c>
      <c r="P11" s="601">
        <f t="shared" si="3"/>
        <v>0</v>
      </c>
      <c r="Q11" s="564"/>
      <c r="R11" s="1" t="s">
        <v>447</v>
      </c>
      <c r="S11" s="593">
        <f>+S10+S6</f>
        <v>0</v>
      </c>
      <c r="T11" s="593">
        <f>+T10+T6</f>
        <v>55000</v>
      </c>
      <c r="U11" s="593">
        <f t="shared" ref="U11:Z11" si="7">+U10+U6</f>
        <v>1039983.3333333334</v>
      </c>
      <c r="V11" s="593">
        <f t="shared" si="7"/>
        <v>2025016.1666666667</v>
      </c>
      <c r="W11" s="593">
        <f t="shared" si="7"/>
        <v>2160099.9849999999</v>
      </c>
      <c r="X11" s="593">
        <f t="shared" si="7"/>
        <v>2167902.9845500002</v>
      </c>
      <c r="Y11" s="593">
        <f t="shared" si="7"/>
        <v>2175850.0740864999</v>
      </c>
      <c r="Z11" s="593">
        <f t="shared" si="7"/>
        <v>2183944.2263090946</v>
      </c>
      <c r="AA11" s="597"/>
      <c r="AB11" s="597"/>
      <c r="AC11" s="597"/>
      <c r="AD11" s="597"/>
    </row>
    <row r="12" spans="1:30" ht="29.4" thickTop="1">
      <c r="A12" s="581">
        <v>9</v>
      </c>
      <c r="B12" s="582" t="s">
        <v>420</v>
      </c>
      <c r="C12" s="582" t="s">
        <v>421</v>
      </c>
      <c r="D12" s="583">
        <v>1000000</v>
      </c>
      <c r="E12" s="582" t="s">
        <v>415</v>
      </c>
      <c r="F12" s="584"/>
      <c r="G12" s="584">
        <v>26</v>
      </c>
      <c r="H12" s="584">
        <v>1</v>
      </c>
      <c r="I12" s="585">
        <f>+'Data Worksheet'!F10</f>
        <v>0.02</v>
      </c>
      <c r="J12" s="600">
        <f t="shared" si="2"/>
        <v>0</v>
      </c>
      <c r="K12" s="600">
        <f t="shared" si="3"/>
        <v>0</v>
      </c>
      <c r="L12" s="600">
        <f t="shared" si="3"/>
        <v>0</v>
      </c>
      <c r="M12" s="600">
        <f t="shared" si="3"/>
        <v>0</v>
      </c>
      <c r="N12" s="600">
        <f t="shared" si="3"/>
        <v>0</v>
      </c>
      <c r="O12" s="600">
        <f t="shared" si="3"/>
        <v>0</v>
      </c>
      <c r="P12" s="600">
        <f t="shared" si="3"/>
        <v>0</v>
      </c>
      <c r="Q12" s="564"/>
    </row>
    <row r="13" spans="1:30" ht="28.8">
      <c r="A13" s="576">
        <v>10</v>
      </c>
      <c r="B13" s="577" t="s">
        <v>420</v>
      </c>
      <c r="C13" s="577" t="s">
        <v>422</v>
      </c>
      <c r="D13" s="578">
        <v>1700000</v>
      </c>
      <c r="E13" s="577" t="s">
        <v>26</v>
      </c>
      <c r="F13" s="579" t="s">
        <v>460</v>
      </c>
      <c r="G13" s="579">
        <v>22</v>
      </c>
      <c r="H13" s="579">
        <v>2</v>
      </c>
      <c r="I13" s="580">
        <v>0</v>
      </c>
      <c r="J13" s="601">
        <f t="shared" si="2"/>
        <v>0</v>
      </c>
      <c r="K13" s="601">
        <f t="shared" si="3"/>
        <v>850000</v>
      </c>
      <c r="L13" s="601">
        <f t="shared" si="3"/>
        <v>1700000</v>
      </c>
      <c r="M13" s="601">
        <f t="shared" si="3"/>
        <v>1700000</v>
      </c>
      <c r="N13" s="601">
        <f t="shared" si="3"/>
        <v>1700000</v>
      </c>
      <c r="O13" s="601">
        <f t="shared" si="3"/>
        <v>1700000</v>
      </c>
      <c r="P13" s="601">
        <f t="shared" si="3"/>
        <v>1700000</v>
      </c>
      <c r="Q13" s="564"/>
    </row>
    <row r="14" spans="1:30" ht="28.8">
      <c r="A14" s="581">
        <v>11</v>
      </c>
      <c r="B14" s="582" t="s">
        <v>420</v>
      </c>
      <c r="C14" s="582" t="s">
        <v>423</v>
      </c>
      <c r="D14" s="583">
        <v>400000</v>
      </c>
      <c r="E14" s="582" t="s">
        <v>38</v>
      </c>
      <c r="F14" s="584" t="s">
        <v>460</v>
      </c>
      <c r="G14" s="584">
        <v>22</v>
      </c>
      <c r="H14" s="584">
        <v>3</v>
      </c>
      <c r="I14" s="585">
        <f>+'Data Worksheet'!F7</f>
        <v>1.4999999999999999E-2</v>
      </c>
      <c r="J14" s="600">
        <f t="shared" si="2"/>
        <v>0</v>
      </c>
      <c r="K14" s="600">
        <f t="shared" si="3"/>
        <v>133333.33333333334</v>
      </c>
      <c r="L14" s="600">
        <f t="shared" si="3"/>
        <v>266666.66666666669</v>
      </c>
      <c r="M14" s="600">
        <f t="shared" si="3"/>
        <v>400000</v>
      </c>
      <c r="N14" s="600">
        <f t="shared" si="3"/>
        <v>405999.99999999994</v>
      </c>
      <c r="O14" s="600">
        <f t="shared" si="3"/>
        <v>412089.99999999988</v>
      </c>
      <c r="P14" s="600">
        <f t="shared" si="3"/>
        <v>418271.34999999986</v>
      </c>
      <c r="Q14" s="564"/>
    </row>
    <row r="15" spans="1:30" ht="28.8">
      <c r="A15" s="576">
        <v>12</v>
      </c>
      <c r="B15" s="577" t="s">
        <v>420</v>
      </c>
      <c r="C15" s="577" t="s">
        <v>424</v>
      </c>
      <c r="D15" s="578">
        <v>200000</v>
      </c>
      <c r="E15" s="577" t="s">
        <v>38</v>
      </c>
      <c r="F15" s="579"/>
      <c r="G15" s="579">
        <v>27</v>
      </c>
      <c r="H15" s="579">
        <v>1</v>
      </c>
      <c r="I15" s="580">
        <v>0.03</v>
      </c>
      <c r="J15" s="601">
        <f t="shared" si="2"/>
        <v>0</v>
      </c>
      <c r="K15" s="601">
        <f t="shared" si="3"/>
        <v>0</v>
      </c>
      <c r="L15" s="601">
        <f t="shared" si="3"/>
        <v>0</v>
      </c>
      <c r="M15" s="601">
        <f t="shared" si="3"/>
        <v>0</v>
      </c>
      <c r="N15" s="601">
        <f t="shared" si="3"/>
        <v>0</v>
      </c>
      <c r="O15" s="601">
        <f t="shared" si="3"/>
        <v>0</v>
      </c>
      <c r="P15" s="601">
        <f t="shared" si="3"/>
        <v>0</v>
      </c>
      <c r="Q15" s="564"/>
    </row>
    <row r="16" spans="1:30" ht="28.8">
      <c r="A16" s="581">
        <v>13</v>
      </c>
      <c r="B16" s="582" t="s">
        <v>420</v>
      </c>
      <c r="C16" s="582" t="s">
        <v>374</v>
      </c>
      <c r="D16" s="583">
        <v>583000</v>
      </c>
      <c r="E16" s="582" t="s">
        <v>26</v>
      </c>
      <c r="F16" s="584"/>
      <c r="G16" s="584">
        <v>27</v>
      </c>
      <c r="H16" s="584">
        <v>1</v>
      </c>
      <c r="I16" s="585">
        <f>+'Data Worksheet'!F11</f>
        <v>0.03</v>
      </c>
      <c r="J16" s="600">
        <f t="shared" si="2"/>
        <v>0</v>
      </c>
      <c r="K16" s="600">
        <f t="shared" si="3"/>
        <v>0</v>
      </c>
      <c r="L16" s="600">
        <f t="shared" si="3"/>
        <v>0</v>
      </c>
      <c r="M16" s="600">
        <f t="shared" si="3"/>
        <v>0</v>
      </c>
      <c r="N16" s="600">
        <f t="shared" si="3"/>
        <v>0</v>
      </c>
      <c r="O16" s="600">
        <f t="shared" si="3"/>
        <v>0</v>
      </c>
      <c r="P16" s="600">
        <f t="shared" si="3"/>
        <v>0</v>
      </c>
      <c r="Q16" s="564"/>
    </row>
    <row r="17" spans="1:17" ht="28.8">
      <c r="A17" s="576">
        <v>14</v>
      </c>
      <c r="B17" s="577" t="s">
        <v>420</v>
      </c>
      <c r="C17" s="577" t="s">
        <v>425</v>
      </c>
      <c r="D17" s="578">
        <v>50000</v>
      </c>
      <c r="E17" s="577" t="s">
        <v>414</v>
      </c>
      <c r="F17" s="579"/>
      <c r="G17" s="579">
        <v>22</v>
      </c>
      <c r="H17" s="579">
        <v>1</v>
      </c>
      <c r="I17" s="580">
        <v>0.03</v>
      </c>
      <c r="J17" s="601">
        <f t="shared" si="2"/>
        <v>0</v>
      </c>
      <c r="K17" s="601">
        <f t="shared" si="3"/>
        <v>0</v>
      </c>
      <c r="L17" s="601">
        <f t="shared" si="3"/>
        <v>0</v>
      </c>
      <c r="M17" s="601">
        <f t="shared" si="3"/>
        <v>0</v>
      </c>
      <c r="N17" s="601">
        <f t="shared" si="3"/>
        <v>0</v>
      </c>
      <c r="O17" s="601">
        <f t="shared" si="3"/>
        <v>0</v>
      </c>
      <c r="P17" s="601">
        <f t="shared" si="3"/>
        <v>0</v>
      </c>
      <c r="Q17" s="564"/>
    </row>
    <row r="18" spans="1:17">
      <c r="A18" s="581">
        <v>15</v>
      </c>
      <c r="B18" s="582" t="s">
        <v>426</v>
      </c>
      <c r="C18" s="582" t="s">
        <v>427</v>
      </c>
      <c r="D18" s="583">
        <v>485000</v>
      </c>
      <c r="E18" s="582" t="s">
        <v>414</v>
      </c>
      <c r="F18" s="584"/>
      <c r="G18" s="584">
        <v>22</v>
      </c>
      <c r="H18" s="584">
        <v>1</v>
      </c>
      <c r="I18" s="585">
        <f>+'Data Worksheet'!F7</f>
        <v>1.4999999999999999E-2</v>
      </c>
      <c r="J18" s="600">
        <f t="shared" si="2"/>
        <v>0</v>
      </c>
      <c r="K18" s="600">
        <f t="shared" si="3"/>
        <v>0</v>
      </c>
      <c r="L18" s="600">
        <f t="shared" si="3"/>
        <v>0</v>
      </c>
      <c r="M18" s="600">
        <f t="shared" si="3"/>
        <v>0</v>
      </c>
      <c r="N18" s="600">
        <f t="shared" si="3"/>
        <v>0</v>
      </c>
      <c r="O18" s="600">
        <f t="shared" si="3"/>
        <v>0</v>
      </c>
      <c r="P18" s="600">
        <f t="shared" si="3"/>
        <v>0</v>
      </c>
      <c r="Q18" s="564"/>
    </row>
    <row r="19" spans="1:17">
      <c r="A19" s="576">
        <v>16</v>
      </c>
      <c r="B19" s="577" t="s">
        <v>426</v>
      </c>
      <c r="C19" s="577" t="s">
        <v>428</v>
      </c>
      <c r="D19" s="578">
        <v>540000</v>
      </c>
      <c r="E19" s="577" t="s">
        <v>414</v>
      </c>
      <c r="F19" s="579"/>
      <c r="G19" s="579">
        <v>22</v>
      </c>
      <c r="H19" s="579">
        <v>1</v>
      </c>
      <c r="I19" s="580">
        <f>+'Data Worksheet'!F9</f>
        <v>0.03</v>
      </c>
      <c r="J19" s="601">
        <f t="shared" si="2"/>
        <v>0</v>
      </c>
      <c r="K19" s="601">
        <f t="shared" si="3"/>
        <v>0</v>
      </c>
      <c r="L19" s="601">
        <f t="shared" si="3"/>
        <v>0</v>
      </c>
      <c r="M19" s="601">
        <f t="shared" si="3"/>
        <v>0</v>
      </c>
      <c r="N19" s="601">
        <f t="shared" si="3"/>
        <v>0</v>
      </c>
      <c r="O19" s="601">
        <f t="shared" si="3"/>
        <v>0</v>
      </c>
      <c r="P19" s="601">
        <f t="shared" si="3"/>
        <v>0</v>
      </c>
      <c r="Q19" s="564"/>
    </row>
    <row r="20" spans="1:17" ht="28.8">
      <c r="A20" s="581">
        <v>17</v>
      </c>
      <c r="B20" s="582" t="s">
        <v>426</v>
      </c>
      <c r="C20" s="582" t="s">
        <v>429</v>
      </c>
      <c r="D20" s="583">
        <v>458000</v>
      </c>
      <c r="E20" s="582" t="s">
        <v>414</v>
      </c>
      <c r="F20" s="584"/>
      <c r="G20" s="584">
        <v>24</v>
      </c>
      <c r="H20" s="584">
        <v>1</v>
      </c>
      <c r="I20" s="585">
        <f>+'Data Worksheet'!F7</f>
        <v>1.4999999999999999E-2</v>
      </c>
      <c r="J20" s="600">
        <f t="shared" si="2"/>
        <v>0</v>
      </c>
      <c r="K20" s="600">
        <f t="shared" si="3"/>
        <v>0</v>
      </c>
      <c r="L20" s="600">
        <f t="shared" si="3"/>
        <v>0</v>
      </c>
      <c r="M20" s="600">
        <f t="shared" si="3"/>
        <v>0</v>
      </c>
      <c r="N20" s="600">
        <f t="shared" si="3"/>
        <v>0</v>
      </c>
      <c r="O20" s="600">
        <f t="shared" si="3"/>
        <v>0</v>
      </c>
      <c r="P20" s="600">
        <f t="shared" si="3"/>
        <v>0</v>
      </c>
      <c r="Q20" s="564"/>
    </row>
    <row r="21" spans="1:17">
      <c r="A21" s="576">
        <v>18</v>
      </c>
      <c r="B21" s="577" t="s">
        <v>442</v>
      </c>
      <c r="C21" s="577" t="s">
        <v>430</v>
      </c>
      <c r="D21" s="578">
        <v>10000</v>
      </c>
      <c r="E21" s="577" t="s">
        <v>431</v>
      </c>
      <c r="F21" s="602"/>
      <c r="G21" s="602">
        <v>27</v>
      </c>
      <c r="H21" s="602">
        <v>1</v>
      </c>
      <c r="I21" s="603">
        <v>-1</v>
      </c>
      <c r="J21" s="604">
        <f t="shared" si="2"/>
        <v>0</v>
      </c>
      <c r="K21" s="604">
        <f t="shared" ref="K21:P25" si="8">IF($F21&lt;&gt;"x",0,IF($G21&gt;K$3,0,IF(K$3&gt;=$G21+$H21,J21*(1+$I21),$D21*(K$3-$G21+1)/$H21)))</f>
        <v>0</v>
      </c>
      <c r="L21" s="604">
        <f t="shared" si="8"/>
        <v>0</v>
      </c>
      <c r="M21" s="604">
        <f t="shared" si="8"/>
        <v>0</v>
      </c>
      <c r="N21" s="604">
        <f t="shared" si="8"/>
        <v>0</v>
      </c>
      <c r="O21" s="604">
        <f t="shared" si="8"/>
        <v>0</v>
      </c>
      <c r="P21" s="604">
        <f t="shared" si="8"/>
        <v>0</v>
      </c>
      <c r="Q21" s="564"/>
    </row>
    <row r="22" spans="1:17" ht="43.2">
      <c r="A22" s="581">
        <v>19</v>
      </c>
      <c r="B22" s="582" t="s">
        <v>442</v>
      </c>
      <c r="C22" s="582" t="s">
        <v>432</v>
      </c>
      <c r="D22" s="583">
        <v>325000</v>
      </c>
      <c r="E22" s="582" t="s">
        <v>414</v>
      </c>
      <c r="F22" s="584"/>
      <c r="G22" s="584">
        <v>26</v>
      </c>
      <c r="H22" s="584">
        <v>2</v>
      </c>
      <c r="I22" s="585">
        <v>0.03</v>
      </c>
      <c r="J22" s="600">
        <f t="shared" si="2"/>
        <v>0</v>
      </c>
      <c r="K22" s="600">
        <f t="shared" si="8"/>
        <v>0</v>
      </c>
      <c r="L22" s="600">
        <f t="shared" si="8"/>
        <v>0</v>
      </c>
      <c r="M22" s="600">
        <f t="shared" si="8"/>
        <v>0</v>
      </c>
      <c r="N22" s="600">
        <f t="shared" si="8"/>
        <v>0</v>
      </c>
      <c r="O22" s="600">
        <f t="shared" si="8"/>
        <v>0</v>
      </c>
      <c r="P22" s="600">
        <f t="shared" si="8"/>
        <v>0</v>
      </c>
      <c r="Q22" s="564"/>
    </row>
    <row r="23" spans="1:17" ht="28.8">
      <c r="A23" s="576">
        <v>20</v>
      </c>
      <c r="B23" s="577" t="s">
        <v>442</v>
      </c>
      <c r="C23" s="577" t="s">
        <v>433</v>
      </c>
      <c r="D23" s="578">
        <v>600000</v>
      </c>
      <c r="E23" s="577" t="s">
        <v>414</v>
      </c>
      <c r="F23" s="579"/>
      <c r="G23" s="579">
        <v>26</v>
      </c>
      <c r="H23" s="579">
        <v>1</v>
      </c>
      <c r="I23" s="580">
        <v>0.03</v>
      </c>
      <c r="J23" s="601">
        <f t="shared" si="2"/>
        <v>0</v>
      </c>
      <c r="K23" s="601">
        <f t="shared" si="8"/>
        <v>0</v>
      </c>
      <c r="L23" s="601">
        <f t="shared" si="8"/>
        <v>0</v>
      </c>
      <c r="M23" s="601">
        <f t="shared" si="8"/>
        <v>0</v>
      </c>
      <c r="N23" s="601">
        <f t="shared" si="8"/>
        <v>0</v>
      </c>
      <c r="O23" s="601">
        <f t="shared" si="8"/>
        <v>0</v>
      </c>
      <c r="P23" s="601">
        <f t="shared" si="8"/>
        <v>0</v>
      </c>
      <c r="Q23" s="564"/>
    </row>
    <row r="24" spans="1:17" ht="28.8">
      <c r="A24" s="586">
        <v>21</v>
      </c>
      <c r="B24" s="563" t="s">
        <v>442</v>
      </c>
      <c r="C24" s="563" t="s">
        <v>434</v>
      </c>
      <c r="D24" s="587">
        <v>50000</v>
      </c>
      <c r="E24" s="563" t="s">
        <v>26</v>
      </c>
      <c r="F24" s="588"/>
      <c r="G24" s="588">
        <v>21</v>
      </c>
      <c r="H24" s="588">
        <v>1</v>
      </c>
      <c r="I24" s="589">
        <v>0.03</v>
      </c>
      <c r="J24" s="600">
        <f t="shared" si="2"/>
        <v>0</v>
      </c>
      <c r="K24" s="600">
        <f t="shared" si="8"/>
        <v>0</v>
      </c>
      <c r="L24" s="600">
        <f t="shared" si="8"/>
        <v>0</v>
      </c>
      <c r="M24" s="600">
        <f t="shared" si="8"/>
        <v>0</v>
      </c>
      <c r="N24" s="600">
        <f t="shared" si="8"/>
        <v>0</v>
      </c>
      <c r="O24" s="600">
        <f t="shared" si="8"/>
        <v>0</v>
      </c>
      <c r="P24" s="600">
        <f t="shared" si="8"/>
        <v>0</v>
      </c>
      <c r="Q24" s="564"/>
    </row>
    <row r="25" spans="1:17" ht="28.8">
      <c r="A25" s="576">
        <v>22</v>
      </c>
      <c r="B25" s="577" t="s">
        <v>442</v>
      </c>
      <c r="C25" s="577" t="s">
        <v>456</v>
      </c>
      <c r="D25" s="578">
        <v>90000</v>
      </c>
      <c r="E25" s="577" t="s">
        <v>26</v>
      </c>
      <c r="F25" s="579"/>
      <c r="G25" s="579">
        <v>21</v>
      </c>
      <c r="H25" s="579">
        <v>1</v>
      </c>
      <c r="I25" s="580">
        <v>0.03</v>
      </c>
      <c r="J25" s="601">
        <f t="shared" si="2"/>
        <v>0</v>
      </c>
      <c r="K25" s="601">
        <f t="shared" si="8"/>
        <v>0</v>
      </c>
      <c r="L25" s="601">
        <f t="shared" si="8"/>
        <v>0</v>
      </c>
      <c r="M25" s="601">
        <f t="shared" si="8"/>
        <v>0</v>
      </c>
      <c r="N25" s="601">
        <f t="shared" si="8"/>
        <v>0</v>
      </c>
      <c r="O25" s="601">
        <f t="shared" si="8"/>
        <v>0</v>
      </c>
      <c r="P25" s="601">
        <f t="shared" si="8"/>
        <v>0</v>
      </c>
    </row>
    <row r="50" spans="18:30">
      <c r="S50" s="592" t="s">
        <v>361</v>
      </c>
      <c r="T50" s="592" t="s">
        <v>362</v>
      </c>
      <c r="U50" s="592" t="s">
        <v>363</v>
      </c>
      <c r="V50" s="592" t="s">
        <v>364</v>
      </c>
      <c r="W50" s="592" t="s">
        <v>365</v>
      </c>
      <c r="X50" s="592" t="s">
        <v>366</v>
      </c>
      <c r="Y50" s="592" t="s">
        <v>370</v>
      </c>
      <c r="Z50" s="592" t="s">
        <v>371</v>
      </c>
      <c r="AA50" s="596"/>
      <c r="AB50" s="596"/>
      <c r="AC50" s="596"/>
      <c r="AD50" s="596"/>
    </row>
    <row r="51" spans="18:30">
      <c r="R51" t="s">
        <v>452</v>
      </c>
      <c r="S51" s="7">
        <f>+'Recession Forecast'!C58</f>
        <v>3500000</v>
      </c>
      <c r="T51" s="7">
        <f>+'Recession Forecast'!D58</f>
        <v>3554365.7086000014</v>
      </c>
      <c r="U51" s="7">
        <f>+T54</f>
        <v>3010205.0164880008</v>
      </c>
      <c r="V51" s="7">
        <f t="shared" ref="V51:Z51" si="9">+U54</f>
        <v>3676433.3520920514</v>
      </c>
      <c r="W51" s="7">
        <f t="shared" si="9"/>
        <v>4998219.1049449071</v>
      </c>
      <c r="X51" s="7">
        <f t="shared" si="9"/>
        <v>6430002.0595181454</v>
      </c>
      <c r="Y51" s="7">
        <f t="shared" si="9"/>
        <v>7523696.0089297658</v>
      </c>
      <c r="Z51" s="7">
        <f t="shared" si="9"/>
        <v>8255583.4749355372</v>
      </c>
      <c r="AA51" s="7"/>
      <c r="AB51" s="7"/>
      <c r="AC51" s="7"/>
      <c r="AD51" s="7"/>
    </row>
    <row r="52" spans="18:30">
      <c r="R52" t="s">
        <v>450</v>
      </c>
      <c r="S52" s="7">
        <f>+'Recession Forecast'!D55</f>
        <v>54365.70860000141</v>
      </c>
      <c r="T52" s="7">
        <f>+'Recession Forecast'!E55</f>
        <v>-599160.69211200066</v>
      </c>
      <c r="U52" s="7">
        <f>+'Recession Forecast'!F55</f>
        <v>-373754.99772928283</v>
      </c>
      <c r="V52" s="7">
        <f>+'Recession Forecast'!G55</f>
        <v>-703230.4138138108</v>
      </c>
      <c r="W52" s="7">
        <f>+'Recession Forecast'!H55</f>
        <v>-728317.03042676114</v>
      </c>
      <c r="X52" s="7">
        <f>+'Recession Forecast'!I55</f>
        <v>-1074209.0351383798</v>
      </c>
      <c r="Y52" s="7">
        <f>+'Recession Forecast'!J55</f>
        <v>-1443962.608080728</v>
      </c>
      <c r="Z52" s="7">
        <f>+'Recession Forecast'!K55</f>
        <v>-1811508.3878684584</v>
      </c>
      <c r="AA52" s="7"/>
      <c r="AB52" s="7"/>
      <c r="AC52" s="7"/>
      <c r="AD52" s="7"/>
    </row>
    <row r="53" spans="18:30">
      <c r="R53" t="s">
        <v>451</v>
      </c>
      <c r="S53" s="594">
        <f t="shared" ref="S53:Z53" si="10">+S11</f>
        <v>0</v>
      </c>
      <c r="T53" s="594">
        <f t="shared" si="10"/>
        <v>55000</v>
      </c>
      <c r="U53" s="594">
        <f t="shared" si="10"/>
        <v>1039983.3333333334</v>
      </c>
      <c r="V53" s="594">
        <f t="shared" si="10"/>
        <v>2025016.1666666667</v>
      </c>
      <c r="W53" s="594">
        <f t="shared" si="10"/>
        <v>2160099.9849999999</v>
      </c>
      <c r="X53" s="594">
        <f t="shared" si="10"/>
        <v>2167902.9845500002</v>
      </c>
      <c r="Y53" s="594">
        <f t="shared" si="10"/>
        <v>2175850.0740864999</v>
      </c>
      <c r="Z53" s="594">
        <f t="shared" si="10"/>
        <v>2183944.2263090946</v>
      </c>
      <c r="AA53" s="594"/>
      <c r="AB53" s="594"/>
      <c r="AC53" s="594"/>
      <c r="AD53" s="594"/>
    </row>
    <row r="54" spans="18:30" ht="15" thickBot="1">
      <c r="R54" t="s">
        <v>453</v>
      </c>
      <c r="S54" s="595">
        <f>SUM(S51:S53)</f>
        <v>3554365.7086000014</v>
      </c>
      <c r="T54" s="595">
        <f>SUM(T51:T53)</f>
        <v>3010205.0164880008</v>
      </c>
      <c r="U54" s="595">
        <f t="shared" ref="U54:Z54" si="11">SUM(U51:U53)</f>
        <v>3676433.3520920514</v>
      </c>
      <c r="V54" s="595">
        <f t="shared" si="11"/>
        <v>4998219.1049449071</v>
      </c>
      <c r="W54" s="595">
        <f t="shared" si="11"/>
        <v>6430002.0595181454</v>
      </c>
      <c r="X54" s="595">
        <f t="shared" si="11"/>
        <v>7523696.0089297658</v>
      </c>
      <c r="Y54" s="595">
        <f t="shared" si="11"/>
        <v>8255583.4749355372</v>
      </c>
      <c r="Z54" s="595">
        <f t="shared" si="11"/>
        <v>8628019.3133761734</v>
      </c>
      <c r="AA54" s="598"/>
      <c r="AB54" s="598"/>
      <c r="AC54" s="598"/>
      <c r="AD54" s="598"/>
    </row>
    <row r="55" spans="18:30" ht="15" thickTop="1">
      <c r="R55" t="s">
        <v>454</v>
      </c>
      <c r="S55" s="7">
        <f>Dashboard!E217</f>
        <v>2477258.1622800003</v>
      </c>
      <c r="T55" s="7">
        <f>Dashboard!F217</f>
        <v>2621007.5070168003</v>
      </c>
      <c r="U55" s="7">
        <f>Dashboard!G217</f>
        <v>2736808.0350526082</v>
      </c>
      <c r="V55" s="7">
        <f>Dashboard!H217</f>
        <v>2894259.2205367684</v>
      </c>
      <c r="W55" s="7">
        <f>Dashboard!I217</f>
        <v>2992296.9818255594</v>
      </c>
      <c r="X55" s="7">
        <f>Dashboard!J217</f>
        <v>3104875.4845911767</v>
      </c>
      <c r="Y55" s="7">
        <f>Dashboard!K217</f>
        <v>3221954.7412138521</v>
      </c>
      <c r="Z55" s="7">
        <f>Dashboard!L217</f>
        <v>3343725.305109228</v>
      </c>
      <c r="AA55" s="7"/>
      <c r="AB55" s="7"/>
      <c r="AC55" s="7"/>
      <c r="AD55" s="7"/>
    </row>
    <row r="56" spans="18:30">
      <c r="R56" s="605" t="s">
        <v>455</v>
      </c>
      <c r="S56" s="7">
        <f>+S52+S53</f>
        <v>54365.70860000141</v>
      </c>
      <c r="T56" s="7">
        <f>+T52+T53</f>
        <v>-544160.69211200066</v>
      </c>
      <c r="U56" s="7">
        <f t="shared" ref="U56:Z56" si="12">+U52+U53</f>
        <v>666228.33560405055</v>
      </c>
      <c r="V56" s="7">
        <f t="shared" si="12"/>
        <v>1321785.7528528559</v>
      </c>
      <c r="W56" s="7">
        <f t="shared" si="12"/>
        <v>1431782.9545732387</v>
      </c>
      <c r="X56" s="7">
        <f t="shared" si="12"/>
        <v>1093693.9494116204</v>
      </c>
      <c r="Y56" s="7">
        <f t="shared" si="12"/>
        <v>731887.46600577189</v>
      </c>
      <c r="Z56" s="7">
        <f t="shared" si="12"/>
        <v>372435.83844063617</v>
      </c>
      <c r="AA56" s="7"/>
      <c r="AB56" s="7"/>
      <c r="AC56" s="7"/>
      <c r="AD56" s="7"/>
    </row>
    <row r="136" spans="4:4">
      <c r="D136" s="562"/>
    </row>
    <row r="137" spans="4:4">
      <c r="D137" s="562"/>
    </row>
    <row r="138" spans="4:4">
      <c r="D138" s="562"/>
    </row>
    <row r="139" spans="4:4">
      <c r="D139" s="562"/>
    </row>
    <row r="140" spans="4:4">
      <c r="D140" s="562"/>
    </row>
    <row r="141" spans="4:4">
      <c r="D141" s="562"/>
    </row>
    <row r="142" spans="4:4">
      <c r="D142" s="562"/>
    </row>
    <row r="143" spans="4:4">
      <c r="D143" s="562"/>
    </row>
    <row r="144" spans="4:4">
      <c r="D144" s="562"/>
    </row>
    <row r="145" spans="4:4">
      <c r="D145" s="562"/>
    </row>
    <row r="146" spans="4:4">
      <c r="D146" s="562"/>
    </row>
    <row r="147" spans="4:4">
      <c r="D147" s="562"/>
    </row>
    <row r="148" spans="4:4">
      <c r="D148" s="562"/>
    </row>
  </sheetData>
  <sheetProtection algorithmName="SHA-512" hashValue="x7s52hFGwas7qzdLEnKUr2QV5iTdYKHD5eGS7nFbdqrwhx3KlI3Bxf9yj/owecMSGJG4WMgRoUCxHKFRLAzxgA==" saltValue="WgsB8IKeLPqZnQxV7nxQ5Q==" spinCount="100000" sheet="1" objects="1" scenarios="1" selectLockedCells="1" selectUnlockedCells="1"/>
  <conditionalFormatting sqref="C4:D25">
    <cfRule type="expression" dxfId="115" priority="1">
      <formula>$F4="x"</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5F30F-88AE-470A-B0D9-7F14F91255EA}">
  <dimension ref="A1:AD148"/>
  <sheetViews>
    <sheetView zoomScaleNormal="100" workbookViewId="0">
      <selection activeCell="R1" sqref="R1:R2"/>
    </sheetView>
  </sheetViews>
  <sheetFormatPr defaultRowHeight="14.4"/>
  <cols>
    <col min="1" max="1" width="7" customWidth="1"/>
    <col min="2" max="2" width="18.33203125" customWidth="1"/>
    <col min="3" max="3" width="21.88671875" bestFit="1" customWidth="1"/>
    <col min="4" max="4" width="16.21875" bestFit="1" customWidth="1"/>
    <col min="5" max="5" width="14.109375" bestFit="1" customWidth="1"/>
    <col min="6" max="6" width="9" bestFit="1" customWidth="1"/>
    <col min="7" max="7" width="4.88671875" bestFit="1" customWidth="1"/>
    <col min="8" max="8" width="6.44140625" bestFit="1" customWidth="1"/>
    <col min="9" max="9" width="8" bestFit="1" customWidth="1"/>
    <col min="10" max="11" width="8.33203125" hidden="1" customWidth="1"/>
    <col min="12" max="16" width="9.77734375" hidden="1" customWidth="1"/>
    <col min="17" max="17" width="3.6640625" customWidth="1"/>
    <col min="18" max="18" width="26.88671875" customWidth="1"/>
    <col min="19" max="19" width="13" bestFit="1" customWidth="1"/>
    <col min="20" max="20" width="11.44140625" bestFit="1" customWidth="1"/>
    <col min="21" max="25" width="11.33203125" bestFit="1" customWidth="1"/>
    <col min="26" max="30" width="11.33203125" customWidth="1"/>
    <col min="33" max="33" width="8.88671875" customWidth="1"/>
  </cols>
  <sheetData>
    <row r="1" spans="1:30">
      <c r="A1" s="1" t="s">
        <v>409</v>
      </c>
      <c r="B1" s="1"/>
      <c r="R1" t="s">
        <v>464</v>
      </c>
    </row>
    <row r="2" spans="1:30">
      <c r="A2" s="1" t="s">
        <v>410</v>
      </c>
      <c r="B2" s="1"/>
      <c r="R2" t="s">
        <v>465</v>
      </c>
    </row>
    <row r="3" spans="1:30" ht="28.8">
      <c r="A3" s="566" t="s">
        <v>435</v>
      </c>
      <c r="B3" s="567" t="s">
        <v>249</v>
      </c>
      <c r="C3" s="567" t="s">
        <v>436</v>
      </c>
      <c r="D3" s="568" t="s">
        <v>437</v>
      </c>
      <c r="E3" s="567" t="s">
        <v>438</v>
      </c>
      <c r="F3" s="569" t="s">
        <v>439</v>
      </c>
      <c r="G3" s="569" t="s">
        <v>440</v>
      </c>
      <c r="H3" s="569" t="s">
        <v>457</v>
      </c>
      <c r="I3" s="570" t="s">
        <v>448</v>
      </c>
      <c r="J3" s="599">
        <v>21</v>
      </c>
      <c r="K3" s="599">
        <v>22</v>
      </c>
      <c r="L3" s="599">
        <v>23</v>
      </c>
      <c r="M3" s="599">
        <v>24</v>
      </c>
      <c r="N3" s="599">
        <v>25</v>
      </c>
      <c r="O3" s="599">
        <v>26</v>
      </c>
      <c r="P3" s="599">
        <v>27</v>
      </c>
      <c r="Q3" s="565"/>
      <c r="R3" s="591" t="s">
        <v>443</v>
      </c>
      <c r="S3" s="592" t="s">
        <v>361</v>
      </c>
      <c r="T3" s="592" t="s">
        <v>362</v>
      </c>
      <c r="U3" s="592" t="s">
        <v>363</v>
      </c>
      <c r="V3" s="592" t="s">
        <v>364</v>
      </c>
      <c r="W3" s="592" t="s">
        <v>365</v>
      </c>
      <c r="X3" s="592" t="s">
        <v>366</v>
      </c>
      <c r="Y3" s="592" t="s">
        <v>370</v>
      </c>
      <c r="Z3" s="592" t="s">
        <v>371</v>
      </c>
      <c r="AA3" s="596"/>
      <c r="AB3" s="596"/>
      <c r="AC3" s="596"/>
      <c r="AD3" s="596"/>
    </row>
    <row r="4" spans="1:30">
      <c r="A4" s="571">
        <v>1</v>
      </c>
      <c r="B4" s="572" t="s">
        <v>441</v>
      </c>
      <c r="C4" s="572" t="s">
        <v>458</v>
      </c>
      <c r="D4" s="573">
        <v>55000</v>
      </c>
      <c r="E4" s="572" t="s">
        <v>26</v>
      </c>
      <c r="F4" s="574" t="s">
        <v>460</v>
      </c>
      <c r="G4" s="574">
        <v>21</v>
      </c>
      <c r="H4" s="574">
        <v>1</v>
      </c>
      <c r="I4" s="575">
        <v>0.03</v>
      </c>
      <c r="J4" s="600">
        <f>IF($F4&lt;&gt;"x",0,IF($G4=J$3,$D4/$H4,0))</f>
        <v>55000</v>
      </c>
      <c r="K4" s="600">
        <f>IF($F4&lt;&gt;"x",0,IF($G4&gt;K$3,0,IF(K$3&gt;=$G4+$H4,J4*(1+$I4),$D4*(K$3-$G4+1)/$H4)))</f>
        <v>56650</v>
      </c>
      <c r="L4" s="600">
        <f t="shared" ref="L4:P4" si="0">IF($F4&lt;&gt;"x",0,IF($G4&gt;L$3,0,IF(L$3&gt;=$G4+$H4,K4*(1+$I4),$D4*(L$3-$G4+1)/$H4)))</f>
        <v>58349.5</v>
      </c>
      <c r="M4" s="600">
        <f t="shared" si="0"/>
        <v>60099.985000000001</v>
      </c>
      <c r="N4" s="600">
        <f t="shared" si="0"/>
        <v>61902.984550000001</v>
      </c>
      <c r="O4" s="600">
        <f t="shared" si="0"/>
        <v>63760.074086500004</v>
      </c>
      <c r="P4" s="600">
        <f t="shared" si="0"/>
        <v>65672.876309095009</v>
      </c>
      <c r="Q4" s="564"/>
      <c r="R4" t="s">
        <v>420</v>
      </c>
      <c r="S4" s="562">
        <v>0</v>
      </c>
      <c r="T4" s="562">
        <f>SUMIF($B$4:$B$25,$R4,J$4:J$25)</f>
        <v>0</v>
      </c>
      <c r="U4" s="562">
        <f t="shared" ref="U4:Z5" si="1">SUMIF($B$4:$B$25,$R4,K$4:K$25)</f>
        <v>183333.33333333334</v>
      </c>
      <c r="V4" s="562">
        <f t="shared" si="1"/>
        <v>318166.66666666669</v>
      </c>
      <c r="W4" s="562">
        <f t="shared" si="1"/>
        <v>453045</v>
      </c>
      <c r="X4" s="562">
        <f t="shared" si="1"/>
        <v>460636.34999999992</v>
      </c>
      <c r="Y4" s="562">
        <f t="shared" si="1"/>
        <v>1468365.4405</v>
      </c>
      <c r="Z4" s="562">
        <f t="shared" si="1"/>
        <v>1496235.0537149999</v>
      </c>
      <c r="AA4" s="562"/>
      <c r="AB4" s="562"/>
      <c r="AC4" s="562"/>
      <c r="AD4" s="562"/>
    </row>
    <row r="5" spans="1:30">
      <c r="A5" s="576">
        <v>2</v>
      </c>
      <c r="B5" s="577" t="s">
        <v>441</v>
      </c>
      <c r="C5" s="577" t="s">
        <v>411</v>
      </c>
      <c r="D5" s="578">
        <v>50000</v>
      </c>
      <c r="E5" s="577" t="s">
        <v>26</v>
      </c>
      <c r="F5" s="579"/>
      <c r="G5" s="579">
        <v>26</v>
      </c>
      <c r="H5" s="579">
        <v>1</v>
      </c>
      <c r="I5" s="580">
        <v>0.03</v>
      </c>
      <c r="J5" s="601">
        <f t="shared" ref="J5:J25" si="2">IF($F5&lt;&gt;"x",0,IF($G5=J$3,$D5/$H5,0))</f>
        <v>0</v>
      </c>
      <c r="K5" s="601">
        <f t="shared" ref="K5:P20" si="3">IF($F5&lt;&gt;"x",0,IF($G5&gt;K$3,0,IF(K$3&gt;=$G5+$H5,J5*(1+$I5),$D5*(K$3-$G5+1)/$H5)))</f>
        <v>0</v>
      </c>
      <c r="L5" s="601">
        <f t="shared" si="3"/>
        <v>0</v>
      </c>
      <c r="M5" s="601">
        <f t="shared" si="3"/>
        <v>0</v>
      </c>
      <c r="N5" s="601">
        <f t="shared" si="3"/>
        <v>0</v>
      </c>
      <c r="O5" s="601">
        <f t="shared" si="3"/>
        <v>0</v>
      </c>
      <c r="P5" s="601">
        <f t="shared" si="3"/>
        <v>0</v>
      </c>
      <c r="Q5" s="564"/>
      <c r="R5" t="s">
        <v>426</v>
      </c>
      <c r="S5" s="562">
        <v>0</v>
      </c>
      <c r="T5" s="562">
        <f>SUMIF($B$4:$B$25,$R5,J$4:J$25)</f>
        <v>0</v>
      </c>
      <c r="U5" s="562">
        <f t="shared" si="1"/>
        <v>0</v>
      </c>
      <c r="V5" s="562">
        <f t="shared" si="1"/>
        <v>0</v>
      </c>
      <c r="W5" s="562">
        <f t="shared" si="1"/>
        <v>0</v>
      </c>
      <c r="X5" s="562">
        <f t="shared" si="1"/>
        <v>0</v>
      </c>
      <c r="Y5" s="562">
        <f t="shared" si="1"/>
        <v>0</v>
      </c>
      <c r="Z5" s="562">
        <f t="shared" si="1"/>
        <v>0</v>
      </c>
      <c r="AA5" s="562"/>
      <c r="AB5" s="562"/>
      <c r="AC5" s="562"/>
      <c r="AD5" s="562"/>
    </row>
    <row r="6" spans="1:30">
      <c r="A6" s="581">
        <v>3</v>
      </c>
      <c r="B6" s="582" t="s">
        <v>441</v>
      </c>
      <c r="C6" s="582" t="s">
        <v>412</v>
      </c>
      <c r="D6" s="583">
        <v>50000</v>
      </c>
      <c r="E6" s="582" t="s">
        <v>56</v>
      </c>
      <c r="F6" s="584"/>
      <c r="G6" s="584">
        <v>22</v>
      </c>
      <c r="H6" s="584">
        <v>1</v>
      </c>
      <c r="I6" s="585">
        <v>0.03</v>
      </c>
      <c r="J6" s="600">
        <f t="shared" si="2"/>
        <v>0</v>
      </c>
      <c r="K6" s="600">
        <f t="shared" si="3"/>
        <v>0</v>
      </c>
      <c r="L6" s="600">
        <f t="shared" si="3"/>
        <v>0</v>
      </c>
      <c r="M6" s="600">
        <f t="shared" si="3"/>
        <v>0</v>
      </c>
      <c r="N6" s="600">
        <f t="shared" si="3"/>
        <v>0</v>
      </c>
      <c r="O6" s="600">
        <f t="shared" si="3"/>
        <v>0</v>
      </c>
      <c r="P6" s="600">
        <f t="shared" si="3"/>
        <v>0</v>
      </c>
      <c r="Q6" s="564"/>
      <c r="R6" s="1" t="s">
        <v>444</v>
      </c>
      <c r="S6" s="590">
        <f>SUM(S4:S5)</f>
        <v>0</v>
      </c>
      <c r="T6" s="590">
        <f>SUM(T4:T5)</f>
        <v>0</v>
      </c>
      <c r="U6" s="590">
        <f t="shared" ref="U6:Z6" si="4">SUM(U4:U5)</f>
        <v>183333.33333333334</v>
      </c>
      <c r="V6" s="590">
        <f t="shared" si="4"/>
        <v>318166.66666666669</v>
      </c>
      <c r="W6" s="590">
        <f t="shared" si="4"/>
        <v>453045</v>
      </c>
      <c r="X6" s="590">
        <f t="shared" si="4"/>
        <v>460636.34999999992</v>
      </c>
      <c r="Y6" s="590">
        <f t="shared" si="4"/>
        <v>1468365.4405</v>
      </c>
      <c r="Z6" s="590">
        <f t="shared" si="4"/>
        <v>1496235.0537149999</v>
      </c>
      <c r="AA6" s="597"/>
      <c r="AB6" s="597"/>
      <c r="AC6" s="597"/>
      <c r="AD6" s="597"/>
    </row>
    <row r="7" spans="1:30" ht="43.2">
      <c r="A7" s="576">
        <v>4</v>
      </c>
      <c r="B7" s="577" t="s">
        <v>445</v>
      </c>
      <c r="C7" s="577" t="s">
        <v>413</v>
      </c>
      <c r="D7" s="578">
        <v>100000</v>
      </c>
      <c r="E7" s="577" t="s">
        <v>414</v>
      </c>
      <c r="F7" s="579"/>
      <c r="G7" s="579">
        <v>23</v>
      </c>
      <c r="H7" s="579">
        <v>1</v>
      </c>
      <c r="I7" s="580">
        <v>0.03</v>
      </c>
      <c r="J7" s="601">
        <f t="shared" si="2"/>
        <v>0</v>
      </c>
      <c r="K7" s="601">
        <f t="shared" si="3"/>
        <v>0</v>
      </c>
      <c r="L7" s="601">
        <f t="shared" si="3"/>
        <v>0</v>
      </c>
      <c r="M7" s="601">
        <f t="shared" si="3"/>
        <v>0</v>
      </c>
      <c r="N7" s="601">
        <f t="shared" si="3"/>
        <v>0</v>
      </c>
      <c r="O7" s="601">
        <f t="shared" si="3"/>
        <v>0</v>
      </c>
      <c r="P7" s="601">
        <f t="shared" si="3"/>
        <v>0</v>
      </c>
      <c r="Q7" s="564"/>
      <c r="R7" t="s">
        <v>441</v>
      </c>
      <c r="S7" s="562">
        <v>0</v>
      </c>
      <c r="T7" s="562">
        <f t="shared" ref="T7:Z9" si="5">SUMIF($B$4:$B$25,$R7,J$4:J$25)</f>
        <v>55000</v>
      </c>
      <c r="U7" s="562">
        <f t="shared" si="5"/>
        <v>56650</v>
      </c>
      <c r="V7" s="562">
        <f t="shared" si="5"/>
        <v>58349.5</v>
      </c>
      <c r="W7" s="562">
        <f t="shared" si="5"/>
        <v>60099.985000000001</v>
      </c>
      <c r="X7" s="562">
        <f t="shared" si="5"/>
        <v>61902.984550000001</v>
      </c>
      <c r="Y7" s="562">
        <f t="shared" si="5"/>
        <v>63760.074086500004</v>
      </c>
      <c r="Z7" s="562">
        <f t="shared" si="5"/>
        <v>65672.876309095009</v>
      </c>
      <c r="AA7" s="562"/>
      <c r="AB7" s="562"/>
      <c r="AC7" s="562"/>
      <c r="AD7" s="562"/>
    </row>
    <row r="8" spans="1:30" ht="28.8">
      <c r="A8" s="581">
        <v>5</v>
      </c>
      <c r="B8" s="582" t="s">
        <v>445</v>
      </c>
      <c r="C8" s="582" t="s">
        <v>449</v>
      </c>
      <c r="D8" s="583">
        <v>240000</v>
      </c>
      <c r="E8" s="582" t="s">
        <v>415</v>
      </c>
      <c r="F8" s="584" t="s">
        <v>460</v>
      </c>
      <c r="G8" s="584">
        <v>23</v>
      </c>
      <c r="H8" s="584">
        <v>2</v>
      </c>
      <c r="I8" s="585">
        <v>3.5000000000000003E-2</v>
      </c>
      <c r="J8" s="600">
        <f t="shared" si="2"/>
        <v>0</v>
      </c>
      <c r="K8" s="600">
        <f t="shared" si="3"/>
        <v>0</v>
      </c>
      <c r="L8" s="600">
        <f t="shared" si="3"/>
        <v>120000</v>
      </c>
      <c r="M8" s="600">
        <f t="shared" si="3"/>
        <v>240000</v>
      </c>
      <c r="N8" s="600">
        <f t="shared" si="3"/>
        <v>248399.99999999997</v>
      </c>
      <c r="O8" s="600">
        <f t="shared" si="3"/>
        <v>257093.99999999994</v>
      </c>
      <c r="P8" s="600">
        <f t="shared" si="3"/>
        <v>266092.28999999992</v>
      </c>
      <c r="Q8" s="564"/>
      <c r="R8" t="s">
        <v>445</v>
      </c>
      <c r="S8" s="562">
        <v>0</v>
      </c>
      <c r="T8" s="562">
        <f t="shared" si="5"/>
        <v>0</v>
      </c>
      <c r="U8" s="562">
        <f t="shared" si="5"/>
        <v>0</v>
      </c>
      <c r="V8" s="562">
        <f t="shared" si="5"/>
        <v>120000</v>
      </c>
      <c r="W8" s="562">
        <f t="shared" si="5"/>
        <v>240000</v>
      </c>
      <c r="X8" s="562">
        <f t="shared" si="5"/>
        <v>248399.99999999997</v>
      </c>
      <c r="Y8" s="562">
        <f t="shared" si="5"/>
        <v>257093.99999999994</v>
      </c>
      <c r="Z8" s="562">
        <f t="shared" si="5"/>
        <v>266092.28999999992</v>
      </c>
      <c r="AA8" s="562"/>
      <c r="AB8" s="562"/>
      <c r="AC8" s="562"/>
      <c r="AD8" s="562"/>
    </row>
    <row r="9" spans="1:30" ht="28.8">
      <c r="A9" s="576">
        <v>6</v>
      </c>
      <c r="B9" s="577" t="s">
        <v>445</v>
      </c>
      <c r="C9" s="577" t="s">
        <v>416</v>
      </c>
      <c r="D9" s="578">
        <v>50000</v>
      </c>
      <c r="E9" s="577" t="s">
        <v>56</v>
      </c>
      <c r="F9" s="579"/>
      <c r="G9" s="579">
        <v>24</v>
      </c>
      <c r="H9" s="579">
        <v>1</v>
      </c>
      <c r="I9" s="580">
        <v>0.03</v>
      </c>
      <c r="J9" s="601">
        <f t="shared" si="2"/>
        <v>0</v>
      </c>
      <c r="K9" s="601">
        <f t="shared" si="3"/>
        <v>0</v>
      </c>
      <c r="L9" s="601">
        <f t="shared" si="3"/>
        <v>0</v>
      </c>
      <c r="M9" s="601">
        <f t="shared" si="3"/>
        <v>0</v>
      </c>
      <c r="N9" s="601">
        <f t="shared" si="3"/>
        <v>0</v>
      </c>
      <c r="O9" s="601">
        <f t="shared" si="3"/>
        <v>0</v>
      </c>
      <c r="P9" s="601">
        <f t="shared" si="3"/>
        <v>0</v>
      </c>
      <c r="Q9" s="564"/>
      <c r="R9" t="s">
        <v>442</v>
      </c>
      <c r="S9" s="562">
        <v>0</v>
      </c>
      <c r="T9" s="562">
        <f t="shared" si="5"/>
        <v>100000</v>
      </c>
      <c r="U9" s="562">
        <f t="shared" si="5"/>
        <v>103000</v>
      </c>
      <c r="V9" s="562">
        <f t="shared" si="5"/>
        <v>106090</v>
      </c>
      <c r="W9" s="562">
        <f t="shared" si="5"/>
        <v>109272.7</v>
      </c>
      <c r="X9" s="562">
        <f t="shared" si="5"/>
        <v>112550.88099999999</v>
      </c>
      <c r="Y9" s="562">
        <f t="shared" si="5"/>
        <v>115927.40742999999</v>
      </c>
      <c r="Z9" s="562">
        <f t="shared" si="5"/>
        <v>119405.2296529</v>
      </c>
      <c r="AA9" s="562"/>
      <c r="AB9" s="562"/>
      <c r="AC9" s="562"/>
      <c r="AD9" s="562"/>
    </row>
    <row r="10" spans="1:30" ht="28.8">
      <c r="A10" s="581">
        <v>7</v>
      </c>
      <c r="B10" s="582" t="s">
        <v>445</v>
      </c>
      <c r="C10" s="582" t="s">
        <v>417</v>
      </c>
      <c r="D10" s="583">
        <v>20000</v>
      </c>
      <c r="E10" s="582" t="s">
        <v>56</v>
      </c>
      <c r="F10" s="584"/>
      <c r="G10" s="584">
        <v>21</v>
      </c>
      <c r="H10" s="584">
        <v>1</v>
      </c>
      <c r="I10" s="585">
        <v>0.03</v>
      </c>
      <c r="J10" s="600">
        <f t="shared" si="2"/>
        <v>0</v>
      </c>
      <c r="K10" s="600">
        <f t="shared" si="3"/>
        <v>0</v>
      </c>
      <c r="L10" s="600">
        <f t="shared" si="3"/>
        <v>0</v>
      </c>
      <c r="M10" s="600">
        <f t="shared" si="3"/>
        <v>0</v>
      </c>
      <c r="N10" s="600">
        <f t="shared" si="3"/>
        <v>0</v>
      </c>
      <c r="O10" s="600">
        <f t="shared" si="3"/>
        <v>0</v>
      </c>
      <c r="P10" s="600">
        <f t="shared" si="3"/>
        <v>0</v>
      </c>
      <c r="Q10" s="564"/>
      <c r="R10" s="1" t="s">
        <v>446</v>
      </c>
      <c r="S10" s="590">
        <f>SUM(S7:S9)</f>
        <v>0</v>
      </c>
      <c r="T10" s="590">
        <f>SUM(T7:T9)</f>
        <v>155000</v>
      </c>
      <c r="U10" s="590">
        <f t="shared" ref="U10:Z10" si="6">SUM(U7:U9)</f>
        <v>159650</v>
      </c>
      <c r="V10" s="590">
        <f t="shared" si="6"/>
        <v>284439.5</v>
      </c>
      <c r="W10" s="590">
        <f t="shared" si="6"/>
        <v>409372.685</v>
      </c>
      <c r="X10" s="590">
        <f t="shared" si="6"/>
        <v>422853.86554999999</v>
      </c>
      <c r="Y10" s="590">
        <f t="shared" si="6"/>
        <v>436781.48151649989</v>
      </c>
      <c r="Z10" s="590">
        <f t="shared" si="6"/>
        <v>451170.39596199495</v>
      </c>
      <c r="AA10" s="597"/>
      <c r="AB10" s="597"/>
      <c r="AC10" s="597"/>
      <c r="AD10" s="597"/>
    </row>
    <row r="11" spans="1:30" ht="29.4" thickBot="1">
      <c r="A11" s="576">
        <v>8</v>
      </c>
      <c r="B11" s="577" t="s">
        <v>445</v>
      </c>
      <c r="C11" s="577" t="s">
        <v>418</v>
      </c>
      <c r="D11" s="578" t="s">
        <v>419</v>
      </c>
      <c r="E11" s="577" t="s">
        <v>419</v>
      </c>
      <c r="F11" s="579"/>
      <c r="G11" s="579"/>
      <c r="H11" s="579">
        <v>1</v>
      </c>
      <c r="I11" s="580" t="s">
        <v>419</v>
      </c>
      <c r="J11" s="601">
        <f t="shared" si="2"/>
        <v>0</v>
      </c>
      <c r="K11" s="601">
        <f t="shared" si="3"/>
        <v>0</v>
      </c>
      <c r="L11" s="601">
        <f t="shared" si="3"/>
        <v>0</v>
      </c>
      <c r="M11" s="601">
        <f t="shared" si="3"/>
        <v>0</v>
      </c>
      <c r="N11" s="601">
        <f t="shared" si="3"/>
        <v>0</v>
      </c>
      <c r="O11" s="601">
        <f t="shared" si="3"/>
        <v>0</v>
      </c>
      <c r="P11" s="601">
        <f t="shared" si="3"/>
        <v>0</v>
      </c>
      <c r="Q11" s="564"/>
      <c r="R11" s="1" t="s">
        <v>447</v>
      </c>
      <c r="S11" s="593">
        <f>+S10+S6</f>
        <v>0</v>
      </c>
      <c r="T11" s="593">
        <f>+T10+T6</f>
        <v>155000</v>
      </c>
      <c r="U11" s="593">
        <f t="shared" ref="U11:Z11" si="7">+U10+U6</f>
        <v>342983.33333333337</v>
      </c>
      <c r="V11" s="593">
        <f t="shared" si="7"/>
        <v>602606.16666666674</v>
      </c>
      <c r="W11" s="593">
        <f t="shared" si="7"/>
        <v>862417.68500000006</v>
      </c>
      <c r="X11" s="593">
        <f t="shared" si="7"/>
        <v>883490.21554999985</v>
      </c>
      <c r="Y11" s="593">
        <f t="shared" si="7"/>
        <v>1905146.9220165</v>
      </c>
      <c r="Z11" s="593">
        <f t="shared" si="7"/>
        <v>1947405.4496769949</v>
      </c>
      <c r="AA11" s="597"/>
      <c r="AB11" s="597"/>
      <c r="AC11" s="597"/>
      <c r="AD11" s="597"/>
    </row>
    <row r="12" spans="1:30" ht="29.4" thickTop="1">
      <c r="A12" s="581">
        <v>9</v>
      </c>
      <c r="B12" s="582" t="s">
        <v>420</v>
      </c>
      <c r="C12" s="582" t="s">
        <v>421</v>
      </c>
      <c r="D12" s="583">
        <v>1000000</v>
      </c>
      <c r="E12" s="582" t="s">
        <v>415</v>
      </c>
      <c r="F12" s="584" t="s">
        <v>460</v>
      </c>
      <c r="G12" s="584">
        <v>26</v>
      </c>
      <c r="H12" s="584">
        <v>1</v>
      </c>
      <c r="I12" s="585">
        <f>+'Data Worksheet'!F10</f>
        <v>0.02</v>
      </c>
      <c r="J12" s="600">
        <f t="shared" si="2"/>
        <v>0</v>
      </c>
      <c r="K12" s="600">
        <f t="shared" si="3"/>
        <v>0</v>
      </c>
      <c r="L12" s="600">
        <f t="shared" si="3"/>
        <v>0</v>
      </c>
      <c r="M12" s="600">
        <f t="shared" si="3"/>
        <v>0</v>
      </c>
      <c r="N12" s="600">
        <f t="shared" si="3"/>
        <v>0</v>
      </c>
      <c r="O12" s="600">
        <f t="shared" si="3"/>
        <v>1000000</v>
      </c>
      <c r="P12" s="600">
        <f t="shared" si="3"/>
        <v>1020000</v>
      </c>
      <c r="Q12" s="564"/>
    </row>
    <row r="13" spans="1:30" ht="28.8">
      <c r="A13" s="576">
        <v>10</v>
      </c>
      <c r="B13" s="577" t="s">
        <v>420</v>
      </c>
      <c r="C13" s="577" t="s">
        <v>422</v>
      </c>
      <c r="D13" s="578">
        <v>1700000</v>
      </c>
      <c r="E13" s="577" t="s">
        <v>26</v>
      </c>
      <c r="F13" s="579"/>
      <c r="G13" s="579">
        <v>22</v>
      </c>
      <c r="H13" s="579">
        <v>2</v>
      </c>
      <c r="I13" s="580">
        <v>0</v>
      </c>
      <c r="J13" s="601">
        <f t="shared" si="2"/>
        <v>0</v>
      </c>
      <c r="K13" s="601">
        <f t="shared" si="3"/>
        <v>0</v>
      </c>
      <c r="L13" s="601">
        <f t="shared" si="3"/>
        <v>0</v>
      </c>
      <c r="M13" s="601">
        <f t="shared" si="3"/>
        <v>0</v>
      </c>
      <c r="N13" s="601">
        <f t="shared" si="3"/>
        <v>0</v>
      </c>
      <c r="O13" s="601">
        <f t="shared" si="3"/>
        <v>0</v>
      </c>
      <c r="P13" s="601">
        <f t="shared" si="3"/>
        <v>0</v>
      </c>
      <c r="Q13" s="564"/>
    </row>
    <row r="14" spans="1:30" ht="28.8">
      <c r="A14" s="581">
        <v>11</v>
      </c>
      <c r="B14" s="582" t="s">
        <v>420</v>
      </c>
      <c r="C14" s="582" t="s">
        <v>423</v>
      </c>
      <c r="D14" s="583">
        <v>400000</v>
      </c>
      <c r="E14" s="582" t="s">
        <v>38</v>
      </c>
      <c r="F14" s="584" t="s">
        <v>460</v>
      </c>
      <c r="G14" s="584">
        <v>22</v>
      </c>
      <c r="H14" s="584">
        <v>3</v>
      </c>
      <c r="I14" s="585">
        <f>+'Data Worksheet'!F7</f>
        <v>1.4999999999999999E-2</v>
      </c>
      <c r="J14" s="600">
        <f t="shared" si="2"/>
        <v>0</v>
      </c>
      <c r="K14" s="600">
        <f t="shared" si="3"/>
        <v>133333.33333333334</v>
      </c>
      <c r="L14" s="600">
        <f t="shared" si="3"/>
        <v>266666.66666666669</v>
      </c>
      <c r="M14" s="600">
        <f t="shared" si="3"/>
        <v>400000</v>
      </c>
      <c r="N14" s="600">
        <f t="shared" si="3"/>
        <v>405999.99999999994</v>
      </c>
      <c r="O14" s="600">
        <f t="shared" si="3"/>
        <v>412089.99999999988</v>
      </c>
      <c r="P14" s="600">
        <f t="shared" si="3"/>
        <v>418271.34999999986</v>
      </c>
      <c r="Q14" s="564"/>
    </row>
    <row r="15" spans="1:30" ht="28.8">
      <c r="A15" s="576">
        <v>12</v>
      </c>
      <c r="B15" s="577" t="s">
        <v>420</v>
      </c>
      <c r="C15" s="577" t="s">
        <v>424</v>
      </c>
      <c r="D15" s="578">
        <v>200000</v>
      </c>
      <c r="E15" s="577" t="s">
        <v>38</v>
      </c>
      <c r="F15" s="579"/>
      <c r="G15" s="579">
        <v>27</v>
      </c>
      <c r="H15" s="579">
        <v>1</v>
      </c>
      <c r="I15" s="580">
        <v>0.03</v>
      </c>
      <c r="J15" s="601">
        <f t="shared" si="2"/>
        <v>0</v>
      </c>
      <c r="K15" s="601">
        <f t="shared" si="3"/>
        <v>0</v>
      </c>
      <c r="L15" s="601">
        <f t="shared" si="3"/>
        <v>0</v>
      </c>
      <c r="M15" s="601">
        <f t="shared" si="3"/>
        <v>0</v>
      </c>
      <c r="N15" s="601">
        <f t="shared" si="3"/>
        <v>0</v>
      </c>
      <c r="O15" s="601">
        <f t="shared" si="3"/>
        <v>0</v>
      </c>
      <c r="P15" s="601">
        <f t="shared" si="3"/>
        <v>0</v>
      </c>
      <c r="Q15" s="564"/>
    </row>
    <row r="16" spans="1:30" ht="28.8">
      <c r="A16" s="581">
        <v>13</v>
      </c>
      <c r="B16" s="582" t="s">
        <v>420</v>
      </c>
      <c r="C16" s="582" t="s">
        <v>374</v>
      </c>
      <c r="D16" s="583">
        <v>583000</v>
      </c>
      <c r="E16" s="582" t="s">
        <v>26</v>
      </c>
      <c r="F16" s="584"/>
      <c r="G16" s="584">
        <v>27</v>
      </c>
      <c r="H16" s="584">
        <v>1</v>
      </c>
      <c r="I16" s="585">
        <f>+'Data Worksheet'!F11</f>
        <v>0.03</v>
      </c>
      <c r="J16" s="600">
        <f t="shared" si="2"/>
        <v>0</v>
      </c>
      <c r="K16" s="600">
        <f t="shared" si="3"/>
        <v>0</v>
      </c>
      <c r="L16" s="600">
        <f t="shared" si="3"/>
        <v>0</v>
      </c>
      <c r="M16" s="600">
        <f t="shared" si="3"/>
        <v>0</v>
      </c>
      <c r="N16" s="600">
        <f t="shared" si="3"/>
        <v>0</v>
      </c>
      <c r="O16" s="600">
        <f t="shared" si="3"/>
        <v>0</v>
      </c>
      <c r="P16" s="600">
        <f t="shared" si="3"/>
        <v>0</v>
      </c>
      <c r="Q16" s="564"/>
    </row>
    <row r="17" spans="1:17" ht="28.8">
      <c r="A17" s="576">
        <v>14</v>
      </c>
      <c r="B17" s="577" t="s">
        <v>420</v>
      </c>
      <c r="C17" s="577" t="s">
        <v>425</v>
      </c>
      <c r="D17" s="578">
        <v>50000</v>
      </c>
      <c r="E17" s="577" t="s">
        <v>414</v>
      </c>
      <c r="F17" s="579" t="s">
        <v>460</v>
      </c>
      <c r="G17" s="579">
        <v>22</v>
      </c>
      <c r="H17" s="579">
        <v>1</v>
      </c>
      <c r="I17" s="580">
        <v>0.03</v>
      </c>
      <c r="J17" s="601">
        <f t="shared" si="2"/>
        <v>0</v>
      </c>
      <c r="K17" s="601">
        <f t="shared" si="3"/>
        <v>50000</v>
      </c>
      <c r="L17" s="601">
        <f t="shared" si="3"/>
        <v>51500</v>
      </c>
      <c r="M17" s="601">
        <f t="shared" si="3"/>
        <v>53045</v>
      </c>
      <c r="N17" s="601">
        <f t="shared" si="3"/>
        <v>54636.35</v>
      </c>
      <c r="O17" s="601">
        <f t="shared" si="3"/>
        <v>56275.440499999997</v>
      </c>
      <c r="P17" s="601">
        <f t="shared" si="3"/>
        <v>57963.703714999996</v>
      </c>
      <c r="Q17" s="564"/>
    </row>
    <row r="18" spans="1:17">
      <c r="A18" s="581">
        <v>15</v>
      </c>
      <c r="B18" s="582" t="s">
        <v>426</v>
      </c>
      <c r="C18" s="582" t="s">
        <v>427</v>
      </c>
      <c r="D18" s="583">
        <v>485000</v>
      </c>
      <c r="E18" s="582" t="s">
        <v>414</v>
      </c>
      <c r="F18" s="584"/>
      <c r="G18" s="584">
        <v>22</v>
      </c>
      <c r="H18" s="584">
        <v>1</v>
      </c>
      <c r="I18" s="585">
        <f>+'Data Worksheet'!F7</f>
        <v>1.4999999999999999E-2</v>
      </c>
      <c r="J18" s="600">
        <f t="shared" si="2"/>
        <v>0</v>
      </c>
      <c r="K18" s="600">
        <f t="shared" si="3"/>
        <v>0</v>
      </c>
      <c r="L18" s="600">
        <f t="shared" si="3"/>
        <v>0</v>
      </c>
      <c r="M18" s="600">
        <f t="shared" si="3"/>
        <v>0</v>
      </c>
      <c r="N18" s="600">
        <f t="shared" si="3"/>
        <v>0</v>
      </c>
      <c r="O18" s="600">
        <f t="shared" si="3"/>
        <v>0</v>
      </c>
      <c r="P18" s="600">
        <f t="shared" si="3"/>
        <v>0</v>
      </c>
      <c r="Q18" s="564"/>
    </row>
    <row r="19" spans="1:17">
      <c r="A19" s="576">
        <v>16</v>
      </c>
      <c r="B19" s="577" t="s">
        <v>426</v>
      </c>
      <c r="C19" s="577" t="s">
        <v>428</v>
      </c>
      <c r="D19" s="578">
        <v>540000</v>
      </c>
      <c r="E19" s="577" t="s">
        <v>414</v>
      </c>
      <c r="F19" s="579"/>
      <c r="G19" s="579">
        <v>22</v>
      </c>
      <c r="H19" s="579">
        <v>1</v>
      </c>
      <c r="I19" s="580">
        <f>+'Data Worksheet'!F9</f>
        <v>0.03</v>
      </c>
      <c r="J19" s="601">
        <f t="shared" si="2"/>
        <v>0</v>
      </c>
      <c r="K19" s="601">
        <f t="shared" si="3"/>
        <v>0</v>
      </c>
      <c r="L19" s="601">
        <f t="shared" si="3"/>
        <v>0</v>
      </c>
      <c r="M19" s="601">
        <f t="shared" si="3"/>
        <v>0</v>
      </c>
      <c r="N19" s="601">
        <f t="shared" si="3"/>
        <v>0</v>
      </c>
      <c r="O19" s="601">
        <f t="shared" si="3"/>
        <v>0</v>
      </c>
      <c r="P19" s="601">
        <f t="shared" si="3"/>
        <v>0</v>
      </c>
      <c r="Q19" s="564"/>
    </row>
    <row r="20" spans="1:17" ht="28.8">
      <c r="A20" s="581">
        <v>17</v>
      </c>
      <c r="B20" s="582" t="s">
        <v>426</v>
      </c>
      <c r="C20" s="582" t="s">
        <v>429</v>
      </c>
      <c r="D20" s="583">
        <v>458000</v>
      </c>
      <c r="E20" s="582" t="s">
        <v>414</v>
      </c>
      <c r="F20" s="584"/>
      <c r="G20" s="584">
        <v>24</v>
      </c>
      <c r="H20" s="584">
        <v>1</v>
      </c>
      <c r="I20" s="585">
        <f>+'Data Worksheet'!F7</f>
        <v>1.4999999999999999E-2</v>
      </c>
      <c r="J20" s="600">
        <f t="shared" si="2"/>
        <v>0</v>
      </c>
      <c r="K20" s="600">
        <f t="shared" si="3"/>
        <v>0</v>
      </c>
      <c r="L20" s="600">
        <f t="shared" si="3"/>
        <v>0</v>
      </c>
      <c r="M20" s="600">
        <f t="shared" si="3"/>
        <v>0</v>
      </c>
      <c r="N20" s="600">
        <f t="shared" si="3"/>
        <v>0</v>
      </c>
      <c r="O20" s="600">
        <f t="shared" si="3"/>
        <v>0</v>
      </c>
      <c r="P20" s="600">
        <f t="shared" si="3"/>
        <v>0</v>
      </c>
      <c r="Q20" s="564"/>
    </row>
    <row r="21" spans="1:17">
      <c r="A21" s="576">
        <v>18</v>
      </c>
      <c r="B21" s="577" t="s">
        <v>442</v>
      </c>
      <c r="C21" s="577" t="s">
        <v>430</v>
      </c>
      <c r="D21" s="578">
        <v>10000</v>
      </c>
      <c r="E21" s="577" t="s">
        <v>431</v>
      </c>
      <c r="F21" s="602"/>
      <c r="G21" s="602">
        <v>27</v>
      </c>
      <c r="H21" s="602">
        <v>1</v>
      </c>
      <c r="I21" s="603">
        <v>-1</v>
      </c>
      <c r="J21" s="604">
        <f t="shared" si="2"/>
        <v>0</v>
      </c>
      <c r="K21" s="604">
        <f t="shared" ref="K21:P25" si="8">IF($F21&lt;&gt;"x",0,IF($G21&gt;K$3,0,IF(K$3&gt;=$G21+$H21,J21*(1+$I21),$D21*(K$3-$G21+1)/$H21)))</f>
        <v>0</v>
      </c>
      <c r="L21" s="604">
        <f t="shared" si="8"/>
        <v>0</v>
      </c>
      <c r="M21" s="604">
        <f t="shared" si="8"/>
        <v>0</v>
      </c>
      <c r="N21" s="604">
        <f t="shared" si="8"/>
        <v>0</v>
      </c>
      <c r="O21" s="604">
        <f t="shared" si="8"/>
        <v>0</v>
      </c>
      <c r="P21" s="604">
        <f t="shared" si="8"/>
        <v>0</v>
      </c>
      <c r="Q21" s="564"/>
    </row>
    <row r="22" spans="1:17" ht="43.2">
      <c r="A22" s="581">
        <v>19</v>
      </c>
      <c r="B22" s="582" t="s">
        <v>442</v>
      </c>
      <c r="C22" s="582" t="s">
        <v>432</v>
      </c>
      <c r="D22" s="583">
        <v>325000</v>
      </c>
      <c r="E22" s="582" t="s">
        <v>414</v>
      </c>
      <c r="F22" s="584"/>
      <c r="G22" s="584">
        <v>26</v>
      </c>
      <c r="H22" s="584">
        <v>2</v>
      </c>
      <c r="I22" s="585">
        <v>0.03</v>
      </c>
      <c r="J22" s="600">
        <f t="shared" si="2"/>
        <v>0</v>
      </c>
      <c r="K22" s="600">
        <f t="shared" si="8"/>
        <v>0</v>
      </c>
      <c r="L22" s="600">
        <f t="shared" si="8"/>
        <v>0</v>
      </c>
      <c r="M22" s="600">
        <f t="shared" si="8"/>
        <v>0</v>
      </c>
      <c r="N22" s="600">
        <f t="shared" si="8"/>
        <v>0</v>
      </c>
      <c r="O22" s="600">
        <f t="shared" si="8"/>
        <v>0</v>
      </c>
      <c r="P22" s="600">
        <f t="shared" si="8"/>
        <v>0</v>
      </c>
      <c r="Q22" s="564"/>
    </row>
    <row r="23" spans="1:17" ht="28.8">
      <c r="A23" s="576">
        <v>20</v>
      </c>
      <c r="B23" s="577" t="s">
        <v>442</v>
      </c>
      <c r="C23" s="577" t="s">
        <v>433</v>
      </c>
      <c r="D23" s="578">
        <v>600000</v>
      </c>
      <c r="E23" s="577" t="s">
        <v>414</v>
      </c>
      <c r="F23" s="579"/>
      <c r="G23" s="579">
        <v>26</v>
      </c>
      <c r="H23" s="579">
        <v>1</v>
      </c>
      <c r="I23" s="580">
        <v>0.03</v>
      </c>
      <c r="J23" s="601">
        <f t="shared" si="2"/>
        <v>0</v>
      </c>
      <c r="K23" s="601">
        <f t="shared" si="8"/>
        <v>0</v>
      </c>
      <c r="L23" s="601">
        <f t="shared" si="8"/>
        <v>0</v>
      </c>
      <c r="M23" s="601">
        <f t="shared" si="8"/>
        <v>0</v>
      </c>
      <c r="N23" s="601">
        <f t="shared" si="8"/>
        <v>0</v>
      </c>
      <c r="O23" s="601">
        <f t="shared" si="8"/>
        <v>0</v>
      </c>
      <c r="P23" s="601">
        <f t="shared" si="8"/>
        <v>0</v>
      </c>
      <c r="Q23" s="564"/>
    </row>
    <row r="24" spans="1:17" ht="28.8">
      <c r="A24" s="586">
        <v>21</v>
      </c>
      <c r="B24" s="563" t="s">
        <v>442</v>
      </c>
      <c r="C24" s="563" t="s">
        <v>434</v>
      </c>
      <c r="D24" s="587">
        <v>50000</v>
      </c>
      <c r="E24" s="563" t="s">
        <v>26</v>
      </c>
      <c r="F24" s="588" t="s">
        <v>460</v>
      </c>
      <c r="G24" s="588">
        <v>21</v>
      </c>
      <c r="H24" s="588">
        <v>1</v>
      </c>
      <c r="I24" s="589">
        <v>0.03</v>
      </c>
      <c r="J24" s="600">
        <f t="shared" si="2"/>
        <v>50000</v>
      </c>
      <c r="K24" s="600">
        <f t="shared" si="8"/>
        <v>51500</v>
      </c>
      <c r="L24" s="600">
        <f t="shared" si="8"/>
        <v>53045</v>
      </c>
      <c r="M24" s="600">
        <f t="shared" si="8"/>
        <v>54636.35</v>
      </c>
      <c r="N24" s="600">
        <f t="shared" si="8"/>
        <v>56275.440499999997</v>
      </c>
      <c r="O24" s="600">
        <f t="shared" si="8"/>
        <v>57963.703714999996</v>
      </c>
      <c r="P24" s="600">
        <f t="shared" si="8"/>
        <v>59702.614826450001</v>
      </c>
      <c r="Q24" s="564"/>
    </row>
    <row r="25" spans="1:17" ht="28.8">
      <c r="A25" s="576">
        <v>22</v>
      </c>
      <c r="B25" s="577" t="s">
        <v>442</v>
      </c>
      <c r="C25" s="577" t="s">
        <v>456</v>
      </c>
      <c r="D25" s="578">
        <v>50000</v>
      </c>
      <c r="E25" s="577" t="s">
        <v>26</v>
      </c>
      <c r="F25" s="579" t="s">
        <v>460</v>
      </c>
      <c r="G25" s="579">
        <v>21</v>
      </c>
      <c r="H25" s="579">
        <v>1</v>
      </c>
      <c r="I25" s="580">
        <v>0.03</v>
      </c>
      <c r="J25" s="601">
        <f t="shared" si="2"/>
        <v>50000</v>
      </c>
      <c r="K25" s="601">
        <f t="shared" si="8"/>
        <v>51500</v>
      </c>
      <c r="L25" s="601">
        <f t="shared" si="8"/>
        <v>53045</v>
      </c>
      <c r="M25" s="601">
        <f t="shared" si="8"/>
        <v>54636.35</v>
      </c>
      <c r="N25" s="601">
        <f t="shared" si="8"/>
        <v>56275.440499999997</v>
      </c>
      <c r="O25" s="601">
        <f t="shared" si="8"/>
        <v>57963.703714999996</v>
      </c>
      <c r="P25" s="601">
        <f t="shared" si="8"/>
        <v>59702.614826450001</v>
      </c>
    </row>
    <row r="50" spans="18:30">
      <c r="S50" s="592" t="s">
        <v>361</v>
      </c>
      <c r="T50" s="592" t="s">
        <v>362</v>
      </c>
      <c r="U50" s="592" t="s">
        <v>363</v>
      </c>
      <c r="V50" s="592" t="s">
        <v>364</v>
      </c>
      <c r="W50" s="592" t="s">
        <v>365</v>
      </c>
      <c r="X50" s="592" t="s">
        <v>366</v>
      </c>
      <c r="Y50" s="592" t="s">
        <v>370</v>
      </c>
      <c r="Z50" s="592" t="s">
        <v>371</v>
      </c>
      <c r="AA50" s="596"/>
      <c r="AB50" s="596"/>
      <c r="AC50" s="596"/>
      <c r="AD50" s="596"/>
    </row>
    <row r="51" spans="18:30">
      <c r="R51" t="s">
        <v>452</v>
      </c>
      <c r="S51" s="7">
        <f>+'Recession Forecast'!C58</f>
        <v>3500000</v>
      </c>
      <c r="T51" s="7">
        <f>+'Recession Forecast'!D58</f>
        <v>3554365.7086000014</v>
      </c>
      <c r="U51" s="7">
        <f>+T54</f>
        <v>3110205.0164880008</v>
      </c>
      <c r="V51" s="7">
        <f t="shared" ref="V51:Z51" si="9">+U54</f>
        <v>3079433.3520920514</v>
      </c>
      <c r="W51" s="7">
        <f t="shared" si="9"/>
        <v>2978809.1049449071</v>
      </c>
      <c r="X51" s="7">
        <f t="shared" si="9"/>
        <v>3112909.759518146</v>
      </c>
      <c r="Y51" s="7">
        <f t="shared" si="9"/>
        <v>2922190.9399297661</v>
      </c>
      <c r="Z51" s="7">
        <f t="shared" si="9"/>
        <v>3383375.2538655382</v>
      </c>
      <c r="AA51" s="7"/>
      <c r="AB51" s="7"/>
      <c r="AC51" s="7"/>
      <c r="AD51" s="7"/>
    </row>
    <row r="52" spans="18:30">
      <c r="R52" t="s">
        <v>450</v>
      </c>
      <c r="S52" s="7">
        <f>+'Recession Forecast'!D55</f>
        <v>54365.70860000141</v>
      </c>
      <c r="T52" s="7">
        <f>+'Recession Forecast'!E55</f>
        <v>-599160.69211200066</v>
      </c>
      <c r="U52" s="7">
        <f>+'Recession Forecast'!F55</f>
        <v>-373754.99772928283</v>
      </c>
      <c r="V52" s="7">
        <f>+'Recession Forecast'!G55</f>
        <v>-703230.4138138108</v>
      </c>
      <c r="W52" s="7">
        <f>+'Recession Forecast'!H55</f>
        <v>-728317.03042676114</v>
      </c>
      <c r="X52" s="7">
        <f>+'Recession Forecast'!I55</f>
        <v>-1074209.0351383798</v>
      </c>
      <c r="Y52" s="7">
        <f>+'Recession Forecast'!J55</f>
        <v>-1443962.608080728</v>
      </c>
      <c r="Z52" s="7">
        <f>+'Recession Forecast'!K55</f>
        <v>-1811508.3878684584</v>
      </c>
      <c r="AA52" s="7"/>
      <c r="AB52" s="7"/>
      <c r="AC52" s="7"/>
      <c r="AD52" s="7"/>
    </row>
    <row r="53" spans="18:30">
      <c r="R53" t="s">
        <v>451</v>
      </c>
      <c r="S53" s="594">
        <f t="shared" ref="S53:Z53" si="10">+S11</f>
        <v>0</v>
      </c>
      <c r="T53" s="594">
        <f t="shared" si="10"/>
        <v>155000</v>
      </c>
      <c r="U53" s="594">
        <f t="shared" si="10"/>
        <v>342983.33333333337</v>
      </c>
      <c r="V53" s="594">
        <f t="shared" si="10"/>
        <v>602606.16666666674</v>
      </c>
      <c r="W53" s="594">
        <f t="shared" si="10"/>
        <v>862417.68500000006</v>
      </c>
      <c r="X53" s="594">
        <f t="shared" si="10"/>
        <v>883490.21554999985</v>
      </c>
      <c r="Y53" s="594">
        <f t="shared" si="10"/>
        <v>1905146.9220165</v>
      </c>
      <c r="Z53" s="594">
        <f t="shared" si="10"/>
        <v>1947405.4496769949</v>
      </c>
      <c r="AA53" s="594"/>
      <c r="AB53" s="594"/>
      <c r="AC53" s="594"/>
      <c r="AD53" s="594"/>
    </row>
    <row r="54" spans="18:30" ht="15" thickBot="1">
      <c r="R54" t="s">
        <v>453</v>
      </c>
      <c r="S54" s="595">
        <f>SUM(S51:S53)</f>
        <v>3554365.7086000014</v>
      </c>
      <c r="T54" s="595">
        <f>SUM(T51:T53)</f>
        <v>3110205.0164880008</v>
      </c>
      <c r="U54" s="595">
        <f t="shared" ref="U54:Z54" si="11">SUM(U51:U53)</f>
        <v>3079433.3520920514</v>
      </c>
      <c r="V54" s="595">
        <f t="shared" si="11"/>
        <v>2978809.1049449071</v>
      </c>
      <c r="W54" s="595">
        <f t="shared" si="11"/>
        <v>3112909.759518146</v>
      </c>
      <c r="X54" s="595">
        <f t="shared" si="11"/>
        <v>2922190.9399297661</v>
      </c>
      <c r="Y54" s="595">
        <f t="shared" si="11"/>
        <v>3383375.2538655382</v>
      </c>
      <c r="Z54" s="595">
        <f t="shared" si="11"/>
        <v>3519272.3156740749</v>
      </c>
      <c r="AA54" s="598"/>
      <c r="AB54" s="598"/>
      <c r="AC54" s="598"/>
      <c r="AD54" s="598"/>
    </row>
    <row r="55" spans="18:30" ht="15" thickTop="1">
      <c r="R55" t="s">
        <v>454</v>
      </c>
      <c r="S55" s="7">
        <f>Dashboard!E217</f>
        <v>2477258.1622800003</v>
      </c>
      <c r="T55" s="7">
        <f>Dashboard!F217</f>
        <v>2621007.5070168003</v>
      </c>
      <c r="U55" s="7">
        <f>Dashboard!G217</f>
        <v>2736808.0350526082</v>
      </c>
      <c r="V55" s="7">
        <f>Dashboard!H217</f>
        <v>2894259.2205367684</v>
      </c>
      <c r="W55" s="7">
        <f>Dashboard!I217</f>
        <v>2992296.9818255594</v>
      </c>
      <c r="X55" s="7">
        <f>Dashboard!J217</f>
        <v>3104875.4845911767</v>
      </c>
      <c r="Y55" s="7">
        <f>Dashboard!K217</f>
        <v>3221954.7412138521</v>
      </c>
      <c r="Z55" s="7">
        <f>Dashboard!L217</f>
        <v>3343725.305109228</v>
      </c>
      <c r="AA55" s="7"/>
      <c r="AB55" s="7"/>
      <c r="AC55" s="7"/>
      <c r="AD55" s="7"/>
    </row>
    <row r="56" spans="18:30">
      <c r="R56" s="605" t="s">
        <v>455</v>
      </c>
      <c r="S56" s="7">
        <f>+S52+S53</f>
        <v>54365.70860000141</v>
      </c>
      <c r="T56" s="7">
        <f>+T52+T53</f>
        <v>-444160.69211200066</v>
      </c>
      <c r="U56" s="7">
        <f t="shared" ref="U56:Z56" si="12">+U52+U53</f>
        <v>-30771.664395949454</v>
      </c>
      <c r="V56" s="7">
        <f t="shared" si="12"/>
        <v>-100624.24714714405</v>
      </c>
      <c r="W56" s="7">
        <f t="shared" si="12"/>
        <v>134100.65457323892</v>
      </c>
      <c r="X56" s="7">
        <f t="shared" si="12"/>
        <v>-190718.81958837993</v>
      </c>
      <c r="Y56" s="7">
        <f t="shared" si="12"/>
        <v>461184.31393577205</v>
      </c>
      <c r="Z56" s="7">
        <f t="shared" si="12"/>
        <v>135897.06180853653</v>
      </c>
      <c r="AA56" s="7"/>
      <c r="AB56" s="7"/>
      <c r="AC56" s="7"/>
      <c r="AD56" s="7"/>
    </row>
    <row r="136" spans="4:4">
      <c r="D136" s="562"/>
    </row>
    <row r="137" spans="4:4">
      <c r="D137" s="562"/>
    </row>
    <row r="138" spans="4:4">
      <c r="D138" s="562"/>
    </row>
    <row r="139" spans="4:4">
      <c r="D139" s="562"/>
    </row>
    <row r="140" spans="4:4">
      <c r="D140" s="562"/>
    </row>
    <row r="141" spans="4:4">
      <c r="D141" s="562"/>
    </row>
    <row r="142" spans="4:4">
      <c r="D142" s="562"/>
    </row>
    <row r="143" spans="4:4">
      <c r="D143" s="562"/>
    </row>
    <row r="144" spans="4:4">
      <c r="D144" s="562"/>
    </row>
    <row r="145" spans="4:4">
      <c r="D145" s="562"/>
    </row>
    <row r="146" spans="4:4">
      <c r="D146" s="562"/>
    </row>
    <row r="147" spans="4:4">
      <c r="D147" s="562"/>
    </row>
    <row r="148" spans="4:4">
      <c r="D148" s="562"/>
    </row>
  </sheetData>
  <sheetProtection algorithmName="SHA-512" hashValue="qdl+UotuUnnq1btB3HuQGagn4aJbq2fQugFeEiwDC35Lt8Lp77HkqSFyRruJx3QBRplYaoSLL4SKobeLbHZZeA==" saltValue="CH67vWuAOFEb0CKgOJyfhQ==" spinCount="100000" sheet="1" objects="1" scenarios="1" selectLockedCells="1" selectUnlockedCells="1"/>
  <conditionalFormatting sqref="C4:D25">
    <cfRule type="expression" dxfId="114" priority="1">
      <formula>$F4="x"</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5B67B-D9B3-4971-BC35-F66101C8A94B}">
  <dimension ref="A1:AD148"/>
  <sheetViews>
    <sheetView zoomScaleNormal="100" workbookViewId="0">
      <selection activeCell="R1" sqref="R1:R2"/>
    </sheetView>
  </sheetViews>
  <sheetFormatPr defaultRowHeight="14.4"/>
  <cols>
    <col min="1" max="1" width="7" customWidth="1"/>
    <col min="2" max="2" width="18.33203125" customWidth="1"/>
    <col min="3" max="3" width="21.88671875" bestFit="1" customWidth="1"/>
    <col min="4" max="4" width="16.21875" bestFit="1" customWidth="1"/>
    <col min="5" max="5" width="14.109375" bestFit="1" customWidth="1"/>
    <col min="6" max="6" width="9" bestFit="1" customWidth="1"/>
    <col min="7" max="7" width="4.88671875" bestFit="1" customWidth="1"/>
    <col min="8" max="8" width="6.44140625" bestFit="1" customWidth="1"/>
    <col min="9" max="9" width="8" bestFit="1" customWidth="1"/>
    <col min="10" max="11" width="8.33203125" hidden="1" customWidth="1"/>
    <col min="12" max="16" width="9.77734375" hidden="1" customWidth="1"/>
    <col min="17" max="17" width="3.6640625" customWidth="1"/>
    <col min="18" max="18" width="26.88671875" customWidth="1"/>
    <col min="19" max="19" width="13" bestFit="1" customWidth="1"/>
    <col min="20" max="20" width="11.44140625" bestFit="1" customWidth="1"/>
    <col min="21" max="25" width="11.33203125" bestFit="1" customWidth="1"/>
    <col min="26" max="30" width="11.33203125" customWidth="1"/>
    <col min="33" max="33" width="8.88671875" customWidth="1"/>
  </cols>
  <sheetData>
    <row r="1" spans="1:30">
      <c r="A1" s="1" t="s">
        <v>409</v>
      </c>
      <c r="B1" s="1"/>
      <c r="R1" t="s">
        <v>466</v>
      </c>
    </row>
    <row r="2" spans="1:30">
      <c r="A2" s="1" t="s">
        <v>410</v>
      </c>
      <c r="B2" s="1"/>
      <c r="R2" t="s">
        <v>467</v>
      </c>
    </row>
    <row r="3" spans="1:30" ht="28.8">
      <c r="A3" s="566" t="s">
        <v>435</v>
      </c>
      <c r="B3" s="567" t="s">
        <v>249</v>
      </c>
      <c r="C3" s="567" t="s">
        <v>436</v>
      </c>
      <c r="D3" s="568" t="s">
        <v>437</v>
      </c>
      <c r="E3" s="567" t="s">
        <v>438</v>
      </c>
      <c r="F3" s="569" t="s">
        <v>439</v>
      </c>
      <c r="G3" s="569" t="s">
        <v>440</v>
      </c>
      <c r="H3" s="569" t="s">
        <v>457</v>
      </c>
      <c r="I3" s="570" t="s">
        <v>448</v>
      </c>
      <c r="J3" s="599">
        <v>21</v>
      </c>
      <c r="K3" s="599">
        <v>22</v>
      </c>
      <c r="L3" s="599">
        <v>23</v>
      </c>
      <c r="M3" s="599">
        <v>24</v>
      </c>
      <c r="N3" s="599">
        <v>25</v>
      </c>
      <c r="O3" s="599">
        <v>26</v>
      </c>
      <c r="P3" s="599">
        <v>27</v>
      </c>
      <c r="Q3" s="565"/>
      <c r="R3" s="591" t="s">
        <v>443</v>
      </c>
      <c r="S3" s="592" t="s">
        <v>361</v>
      </c>
      <c r="T3" s="592" t="s">
        <v>362</v>
      </c>
      <c r="U3" s="592" t="s">
        <v>363</v>
      </c>
      <c r="V3" s="592" t="s">
        <v>364</v>
      </c>
      <c r="W3" s="592" t="s">
        <v>365</v>
      </c>
      <c r="X3" s="592" t="s">
        <v>366</v>
      </c>
      <c r="Y3" s="592" t="s">
        <v>370</v>
      </c>
      <c r="Z3" s="592" t="s">
        <v>371</v>
      </c>
      <c r="AA3" s="596"/>
      <c r="AB3" s="596"/>
      <c r="AC3" s="596"/>
      <c r="AD3" s="596"/>
    </row>
    <row r="4" spans="1:30">
      <c r="A4" s="571">
        <v>1</v>
      </c>
      <c r="B4" s="572" t="s">
        <v>441</v>
      </c>
      <c r="C4" s="572" t="s">
        <v>458</v>
      </c>
      <c r="D4" s="573">
        <v>55000</v>
      </c>
      <c r="E4" s="572" t="s">
        <v>26</v>
      </c>
      <c r="F4" s="574" t="s">
        <v>460</v>
      </c>
      <c r="G4" s="574">
        <v>21</v>
      </c>
      <c r="H4" s="574">
        <v>1</v>
      </c>
      <c r="I4" s="575">
        <v>0.03</v>
      </c>
      <c r="J4" s="600">
        <f>IF($F4&lt;&gt;"x",0,IF($G4=J$3,$D4/$H4,0))</f>
        <v>55000</v>
      </c>
      <c r="K4" s="600">
        <f>IF($F4&lt;&gt;"x",0,IF($G4&gt;K$3,0,IF(K$3&gt;=$G4+$H4,J4*(1+$I4),$D4*(K$3-$G4+1)/$H4)))</f>
        <v>56650</v>
      </c>
      <c r="L4" s="600">
        <f t="shared" ref="L4:P4" si="0">IF($F4&lt;&gt;"x",0,IF($G4&gt;L$3,0,IF(L$3&gt;=$G4+$H4,K4*(1+$I4),$D4*(L$3-$G4+1)/$H4)))</f>
        <v>58349.5</v>
      </c>
      <c r="M4" s="600">
        <f t="shared" si="0"/>
        <v>60099.985000000001</v>
      </c>
      <c r="N4" s="600">
        <f t="shared" si="0"/>
        <v>61902.984550000001</v>
      </c>
      <c r="O4" s="600">
        <f t="shared" si="0"/>
        <v>63760.074086500004</v>
      </c>
      <c r="P4" s="600">
        <f t="shared" si="0"/>
        <v>65672.876309095009</v>
      </c>
      <c r="Q4" s="564"/>
      <c r="R4" t="s">
        <v>420</v>
      </c>
      <c r="S4" s="562">
        <v>0</v>
      </c>
      <c r="T4" s="562">
        <f>SUMIF($B$4:$B$25,$R4,J$4:J$25)</f>
        <v>0</v>
      </c>
      <c r="U4" s="562">
        <f t="shared" ref="U4:Z5" si="1">SUMIF($B$4:$B$25,$R4,K$4:K$25)</f>
        <v>50000</v>
      </c>
      <c r="V4" s="562">
        <f t="shared" si="1"/>
        <v>184833.33333333334</v>
      </c>
      <c r="W4" s="562">
        <f t="shared" si="1"/>
        <v>319711.66666666669</v>
      </c>
      <c r="X4" s="562">
        <f t="shared" si="1"/>
        <v>454636.35</v>
      </c>
      <c r="Y4" s="562">
        <f t="shared" si="1"/>
        <v>462275.44049999991</v>
      </c>
      <c r="Z4" s="562">
        <f t="shared" si="1"/>
        <v>470053.70371499989</v>
      </c>
      <c r="AA4" s="562"/>
      <c r="AB4" s="562"/>
      <c r="AC4" s="562"/>
      <c r="AD4" s="562"/>
    </row>
    <row r="5" spans="1:30">
      <c r="A5" s="576">
        <v>2</v>
      </c>
      <c r="B5" s="577" t="s">
        <v>441</v>
      </c>
      <c r="C5" s="577" t="s">
        <v>411</v>
      </c>
      <c r="D5" s="578">
        <v>50000</v>
      </c>
      <c r="E5" s="577" t="s">
        <v>26</v>
      </c>
      <c r="F5" s="579" t="s">
        <v>460</v>
      </c>
      <c r="G5" s="579">
        <v>22</v>
      </c>
      <c r="H5" s="579">
        <v>1</v>
      </c>
      <c r="I5" s="580">
        <v>0.03</v>
      </c>
      <c r="J5" s="601">
        <f t="shared" ref="J5:J25" si="2">IF($F5&lt;&gt;"x",0,IF($G5=J$3,$D5/$H5,0))</f>
        <v>0</v>
      </c>
      <c r="K5" s="601">
        <f t="shared" ref="K5:P20" si="3">IF($F5&lt;&gt;"x",0,IF($G5&gt;K$3,0,IF(K$3&gt;=$G5+$H5,J5*(1+$I5),$D5*(K$3-$G5+1)/$H5)))</f>
        <v>50000</v>
      </c>
      <c r="L5" s="601">
        <f t="shared" si="3"/>
        <v>51500</v>
      </c>
      <c r="M5" s="601">
        <f t="shared" si="3"/>
        <v>53045</v>
      </c>
      <c r="N5" s="601">
        <f t="shared" si="3"/>
        <v>54636.35</v>
      </c>
      <c r="O5" s="601">
        <f t="shared" si="3"/>
        <v>56275.440499999997</v>
      </c>
      <c r="P5" s="601">
        <f t="shared" si="3"/>
        <v>57963.703714999996</v>
      </c>
      <c r="Q5" s="564"/>
      <c r="R5" t="s">
        <v>426</v>
      </c>
      <c r="S5" s="562">
        <v>0</v>
      </c>
      <c r="T5" s="562">
        <f>SUMIF($B$4:$B$25,$R5,J$4:J$25)</f>
        <v>0</v>
      </c>
      <c r="U5" s="562">
        <f t="shared" si="1"/>
        <v>0</v>
      </c>
      <c r="V5" s="562">
        <f t="shared" si="1"/>
        <v>0</v>
      </c>
      <c r="W5" s="562">
        <f t="shared" si="1"/>
        <v>0</v>
      </c>
      <c r="X5" s="562">
        <f t="shared" si="1"/>
        <v>0</v>
      </c>
      <c r="Y5" s="562">
        <f t="shared" si="1"/>
        <v>0</v>
      </c>
      <c r="Z5" s="562">
        <f t="shared" si="1"/>
        <v>0</v>
      </c>
      <c r="AA5" s="562"/>
      <c r="AB5" s="562"/>
      <c r="AC5" s="562"/>
      <c r="AD5" s="562"/>
    </row>
    <row r="6" spans="1:30">
      <c r="A6" s="581">
        <v>3</v>
      </c>
      <c r="B6" s="582" t="s">
        <v>441</v>
      </c>
      <c r="C6" s="582" t="s">
        <v>412</v>
      </c>
      <c r="D6" s="583">
        <v>50000</v>
      </c>
      <c r="E6" s="582" t="s">
        <v>56</v>
      </c>
      <c r="F6" s="584" t="s">
        <v>460</v>
      </c>
      <c r="G6" s="584">
        <v>22</v>
      </c>
      <c r="H6" s="584">
        <v>1</v>
      </c>
      <c r="I6" s="585">
        <v>0.03</v>
      </c>
      <c r="J6" s="600">
        <f t="shared" si="2"/>
        <v>0</v>
      </c>
      <c r="K6" s="600">
        <f t="shared" si="3"/>
        <v>50000</v>
      </c>
      <c r="L6" s="600">
        <f t="shared" si="3"/>
        <v>51500</v>
      </c>
      <c r="M6" s="600">
        <f t="shared" si="3"/>
        <v>53045</v>
      </c>
      <c r="N6" s="600">
        <f t="shared" si="3"/>
        <v>54636.35</v>
      </c>
      <c r="O6" s="600">
        <f t="shared" si="3"/>
        <v>56275.440499999997</v>
      </c>
      <c r="P6" s="600">
        <f t="shared" si="3"/>
        <v>57963.703714999996</v>
      </c>
      <c r="Q6" s="564"/>
      <c r="R6" s="1" t="s">
        <v>444</v>
      </c>
      <c r="S6" s="590">
        <f>SUM(S4:S5)</f>
        <v>0</v>
      </c>
      <c r="T6" s="590">
        <f>SUM(T4:T5)</f>
        <v>0</v>
      </c>
      <c r="U6" s="590">
        <f t="shared" ref="U6:Z6" si="4">SUM(U4:U5)</f>
        <v>50000</v>
      </c>
      <c r="V6" s="590">
        <f t="shared" si="4"/>
        <v>184833.33333333334</v>
      </c>
      <c r="W6" s="590">
        <f t="shared" si="4"/>
        <v>319711.66666666669</v>
      </c>
      <c r="X6" s="590">
        <f t="shared" si="4"/>
        <v>454636.35</v>
      </c>
      <c r="Y6" s="590">
        <f t="shared" si="4"/>
        <v>462275.44049999991</v>
      </c>
      <c r="Z6" s="590">
        <f t="shared" si="4"/>
        <v>470053.70371499989</v>
      </c>
      <c r="AA6" s="597"/>
      <c r="AB6" s="597"/>
      <c r="AC6" s="597"/>
      <c r="AD6" s="597"/>
    </row>
    <row r="7" spans="1:30" ht="43.2">
      <c r="A7" s="576">
        <v>4</v>
      </c>
      <c r="B7" s="577" t="s">
        <v>445</v>
      </c>
      <c r="C7" s="577" t="s">
        <v>413</v>
      </c>
      <c r="D7" s="578">
        <v>100000</v>
      </c>
      <c r="E7" s="577" t="s">
        <v>414</v>
      </c>
      <c r="F7" s="579" t="s">
        <v>460</v>
      </c>
      <c r="G7" s="579">
        <v>23</v>
      </c>
      <c r="H7" s="579">
        <v>1</v>
      </c>
      <c r="I7" s="580">
        <v>0.03</v>
      </c>
      <c r="J7" s="601">
        <f t="shared" si="2"/>
        <v>0</v>
      </c>
      <c r="K7" s="601">
        <f t="shared" si="3"/>
        <v>0</v>
      </c>
      <c r="L7" s="601">
        <f t="shared" si="3"/>
        <v>100000</v>
      </c>
      <c r="M7" s="601">
        <f t="shared" si="3"/>
        <v>103000</v>
      </c>
      <c r="N7" s="601">
        <f t="shared" si="3"/>
        <v>106090</v>
      </c>
      <c r="O7" s="601">
        <f t="shared" si="3"/>
        <v>109272.7</v>
      </c>
      <c r="P7" s="601">
        <f t="shared" si="3"/>
        <v>112550.88099999999</v>
      </c>
      <c r="Q7" s="564"/>
      <c r="R7" t="s">
        <v>441</v>
      </c>
      <c r="S7" s="562">
        <v>0</v>
      </c>
      <c r="T7" s="562">
        <f t="shared" ref="T7:Z9" si="5">SUMIF($B$4:$B$25,$R7,J$4:J$25)</f>
        <v>55000</v>
      </c>
      <c r="U7" s="562">
        <f t="shared" si="5"/>
        <v>156650</v>
      </c>
      <c r="V7" s="562">
        <f t="shared" si="5"/>
        <v>161349.5</v>
      </c>
      <c r="W7" s="562">
        <f t="shared" si="5"/>
        <v>166189.98499999999</v>
      </c>
      <c r="X7" s="562">
        <f t="shared" si="5"/>
        <v>171175.68455000001</v>
      </c>
      <c r="Y7" s="562">
        <f t="shared" si="5"/>
        <v>176310.95508650001</v>
      </c>
      <c r="Z7" s="562">
        <f t="shared" si="5"/>
        <v>181600.283739095</v>
      </c>
      <c r="AA7" s="562"/>
      <c r="AB7" s="562"/>
      <c r="AC7" s="562"/>
      <c r="AD7" s="562"/>
    </row>
    <row r="8" spans="1:30" ht="28.8">
      <c r="A8" s="581">
        <v>5</v>
      </c>
      <c r="B8" s="582" t="s">
        <v>445</v>
      </c>
      <c r="C8" s="582" t="s">
        <v>449</v>
      </c>
      <c r="D8" s="583">
        <v>240000</v>
      </c>
      <c r="E8" s="582" t="s">
        <v>415</v>
      </c>
      <c r="F8" s="584" t="s">
        <v>460</v>
      </c>
      <c r="G8" s="584">
        <v>23</v>
      </c>
      <c r="H8" s="584">
        <v>2</v>
      </c>
      <c r="I8" s="585">
        <v>3.5000000000000003E-2</v>
      </c>
      <c r="J8" s="600">
        <f t="shared" si="2"/>
        <v>0</v>
      </c>
      <c r="K8" s="600">
        <f t="shared" si="3"/>
        <v>0</v>
      </c>
      <c r="L8" s="600">
        <f t="shared" si="3"/>
        <v>120000</v>
      </c>
      <c r="M8" s="600">
        <f t="shared" si="3"/>
        <v>240000</v>
      </c>
      <c r="N8" s="600">
        <f t="shared" si="3"/>
        <v>248399.99999999997</v>
      </c>
      <c r="O8" s="600">
        <f t="shared" si="3"/>
        <v>257093.99999999994</v>
      </c>
      <c r="P8" s="600">
        <f t="shared" si="3"/>
        <v>266092.28999999992</v>
      </c>
      <c r="Q8" s="564"/>
      <c r="R8" t="s">
        <v>445</v>
      </c>
      <c r="S8" s="562">
        <v>0</v>
      </c>
      <c r="T8" s="562">
        <f t="shared" si="5"/>
        <v>0</v>
      </c>
      <c r="U8" s="562">
        <f t="shared" si="5"/>
        <v>0</v>
      </c>
      <c r="V8" s="562">
        <f t="shared" si="5"/>
        <v>220000</v>
      </c>
      <c r="W8" s="562">
        <f t="shared" si="5"/>
        <v>343000</v>
      </c>
      <c r="X8" s="562">
        <f t="shared" si="5"/>
        <v>354490</v>
      </c>
      <c r="Y8" s="562">
        <f t="shared" si="5"/>
        <v>366366.69999999995</v>
      </c>
      <c r="Z8" s="562">
        <f t="shared" si="5"/>
        <v>378643.17099999991</v>
      </c>
      <c r="AA8" s="562"/>
      <c r="AB8" s="562"/>
      <c r="AC8" s="562"/>
      <c r="AD8" s="562"/>
    </row>
    <row r="9" spans="1:30" ht="28.8">
      <c r="A9" s="576">
        <v>6</v>
      </c>
      <c r="B9" s="577" t="s">
        <v>445</v>
      </c>
      <c r="C9" s="577" t="s">
        <v>416</v>
      </c>
      <c r="D9" s="578">
        <v>50000</v>
      </c>
      <c r="E9" s="577" t="s">
        <v>56</v>
      </c>
      <c r="F9" s="579"/>
      <c r="G9" s="579">
        <v>24</v>
      </c>
      <c r="H9" s="579">
        <v>1</v>
      </c>
      <c r="I9" s="580">
        <v>0.03</v>
      </c>
      <c r="J9" s="601">
        <f t="shared" si="2"/>
        <v>0</v>
      </c>
      <c r="K9" s="601">
        <f t="shared" si="3"/>
        <v>0</v>
      </c>
      <c r="L9" s="601">
        <f t="shared" si="3"/>
        <v>0</v>
      </c>
      <c r="M9" s="601">
        <f t="shared" si="3"/>
        <v>0</v>
      </c>
      <c r="N9" s="601">
        <f t="shared" si="3"/>
        <v>0</v>
      </c>
      <c r="O9" s="601">
        <f t="shared" si="3"/>
        <v>0</v>
      </c>
      <c r="P9" s="601">
        <f t="shared" si="3"/>
        <v>0</v>
      </c>
      <c r="Q9" s="564"/>
      <c r="R9" t="s">
        <v>442</v>
      </c>
      <c r="S9" s="562">
        <v>0</v>
      </c>
      <c r="T9" s="562">
        <f t="shared" si="5"/>
        <v>140000</v>
      </c>
      <c r="U9" s="562">
        <f t="shared" si="5"/>
        <v>144200</v>
      </c>
      <c r="V9" s="562">
        <f t="shared" si="5"/>
        <v>148526</v>
      </c>
      <c r="W9" s="562">
        <f t="shared" si="5"/>
        <v>152981.78</v>
      </c>
      <c r="X9" s="562">
        <f t="shared" si="5"/>
        <v>157571.23340000003</v>
      </c>
      <c r="Y9" s="562">
        <f t="shared" si="5"/>
        <v>762298.37040199991</v>
      </c>
      <c r="Z9" s="562">
        <f t="shared" si="5"/>
        <v>785167.32151406002</v>
      </c>
      <c r="AA9" s="562"/>
      <c r="AB9" s="562"/>
      <c r="AC9" s="562"/>
      <c r="AD9" s="562"/>
    </row>
    <row r="10" spans="1:30" ht="28.8">
      <c r="A10" s="581">
        <v>7</v>
      </c>
      <c r="B10" s="582" t="s">
        <v>445</v>
      </c>
      <c r="C10" s="582" t="s">
        <v>417</v>
      </c>
      <c r="D10" s="583">
        <v>20000</v>
      </c>
      <c r="E10" s="582" t="s">
        <v>56</v>
      </c>
      <c r="F10" s="584"/>
      <c r="G10" s="584">
        <v>21</v>
      </c>
      <c r="H10" s="584">
        <v>1</v>
      </c>
      <c r="I10" s="585">
        <v>0.03</v>
      </c>
      <c r="J10" s="600">
        <f t="shared" si="2"/>
        <v>0</v>
      </c>
      <c r="K10" s="600">
        <f t="shared" si="3"/>
        <v>0</v>
      </c>
      <c r="L10" s="600">
        <f t="shared" si="3"/>
        <v>0</v>
      </c>
      <c r="M10" s="600">
        <f t="shared" si="3"/>
        <v>0</v>
      </c>
      <c r="N10" s="600">
        <f t="shared" si="3"/>
        <v>0</v>
      </c>
      <c r="O10" s="600">
        <f t="shared" si="3"/>
        <v>0</v>
      </c>
      <c r="P10" s="600">
        <f t="shared" si="3"/>
        <v>0</v>
      </c>
      <c r="Q10" s="564"/>
      <c r="R10" s="1" t="s">
        <v>446</v>
      </c>
      <c r="S10" s="590">
        <f>SUM(S7:S9)</f>
        <v>0</v>
      </c>
      <c r="T10" s="590">
        <f>SUM(T7:T9)</f>
        <v>195000</v>
      </c>
      <c r="U10" s="590">
        <f t="shared" ref="U10:Z10" si="6">SUM(U7:U9)</f>
        <v>300850</v>
      </c>
      <c r="V10" s="590">
        <f t="shared" si="6"/>
        <v>529875.5</v>
      </c>
      <c r="W10" s="590">
        <f t="shared" si="6"/>
        <v>662171.76500000001</v>
      </c>
      <c r="X10" s="590">
        <f t="shared" si="6"/>
        <v>683236.91795000003</v>
      </c>
      <c r="Y10" s="590">
        <f t="shared" si="6"/>
        <v>1304976.0254885</v>
      </c>
      <c r="Z10" s="590">
        <f t="shared" si="6"/>
        <v>1345410.776253155</v>
      </c>
      <c r="AA10" s="597"/>
      <c r="AB10" s="597"/>
      <c r="AC10" s="597"/>
      <c r="AD10" s="597"/>
    </row>
    <row r="11" spans="1:30" ht="29.4" thickBot="1">
      <c r="A11" s="576">
        <v>8</v>
      </c>
      <c r="B11" s="577" t="s">
        <v>445</v>
      </c>
      <c r="C11" s="577" t="s">
        <v>418</v>
      </c>
      <c r="D11" s="578" t="s">
        <v>419</v>
      </c>
      <c r="E11" s="577" t="s">
        <v>419</v>
      </c>
      <c r="F11" s="579"/>
      <c r="G11" s="579"/>
      <c r="H11" s="579">
        <v>1</v>
      </c>
      <c r="I11" s="580" t="s">
        <v>419</v>
      </c>
      <c r="J11" s="601">
        <f t="shared" si="2"/>
        <v>0</v>
      </c>
      <c r="K11" s="601">
        <f t="shared" si="3"/>
        <v>0</v>
      </c>
      <c r="L11" s="601">
        <f t="shared" si="3"/>
        <v>0</v>
      </c>
      <c r="M11" s="601">
        <f t="shared" si="3"/>
        <v>0</v>
      </c>
      <c r="N11" s="601">
        <f t="shared" si="3"/>
        <v>0</v>
      </c>
      <c r="O11" s="601">
        <f t="shared" si="3"/>
        <v>0</v>
      </c>
      <c r="P11" s="601">
        <f t="shared" si="3"/>
        <v>0</v>
      </c>
      <c r="Q11" s="564"/>
      <c r="R11" s="1" t="s">
        <v>447</v>
      </c>
      <c r="S11" s="593">
        <f>+S10+S6</f>
        <v>0</v>
      </c>
      <c r="T11" s="593">
        <f>+T10+T6</f>
        <v>195000</v>
      </c>
      <c r="U11" s="593">
        <f t="shared" ref="U11:Z11" si="7">+U10+U6</f>
        <v>350850</v>
      </c>
      <c r="V11" s="593">
        <f t="shared" si="7"/>
        <v>714708.83333333337</v>
      </c>
      <c r="W11" s="593">
        <f t="shared" si="7"/>
        <v>981883.43166666664</v>
      </c>
      <c r="X11" s="593">
        <f t="shared" si="7"/>
        <v>1137873.26795</v>
      </c>
      <c r="Y11" s="593">
        <f t="shared" si="7"/>
        <v>1767251.4659885</v>
      </c>
      <c r="Z11" s="593">
        <f t="shared" si="7"/>
        <v>1815464.4799681548</v>
      </c>
      <c r="AA11" s="597"/>
      <c r="AB11" s="597"/>
      <c r="AC11" s="597"/>
      <c r="AD11" s="597"/>
    </row>
    <row r="12" spans="1:30" ht="29.4" thickTop="1">
      <c r="A12" s="581">
        <v>9</v>
      </c>
      <c r="B12" s="582" t="s">
        <v>420</v>
      </c>
      <c r="C12" s="582" t="s">
        <v>421</v>
      </c>
      <c r="D12" s="583">
        <v>1000000</v>
      </c>
      <c r="E12" s="582" t="s">
        <v>415</v>
      </c>
      <c r="F12" s="584"/>
      <c r="G12" s="584">
        <v>26</v>
      </c>
      <c r="H12" s="584">
        <v>1</v>
      </c>
      <c r="I12" s="585">
        <f>+'Data Worksheet'!F10</f>
        <v>0.02</v>
      </c>
      <c r="J12" s="600">
        <f t="shared" si="2"/>
        <v>0</v>
      </c>
      <c r="K12" s="600">
        <f t="shared" si="3"/>
        <v>0</v>
      </c>
      <c r="L12" s="600">
        <f t="shared" si="3"/>
        <v>0</v>
      </c>
      <c r="M12" s="600">
        <f t="shared" si="3"/>
        <v>0</v>
      </c>
      <c r="N12" s="600">
        <f t="shared" si="3"/>
        <v>0</v>
      </c>
      <c r="O12" s="600">
        <f t="shared" si="3"/>
        <v>0</v>
      </c>
      <c r="P12" s="600">
        <f t="shared" si="3"/>
        <v>0</v>
      </c>
      <c r="Q12" s="564"/>
    </row>
    <row r="13" spans="1:30" ht="28.8">
      <c r="A13" s="576">
        <v>10</v>
      </c>
      <c r="B13" s="577" t="s">
        <v>420</v>
      </c>
      <c r="C13" s="577" t="s">
        <v>422</v>
      </c>
      <c r="D13" s="578">
        <v>1700000</v>
      </c>
      <c r="E13" s="577" t="s">
        <v>26</v>
      </c>
      <c r="F13" s="579"/>
      <c r="G13" s="579">
        <v>22</v>
      </c>
      <c r="H13" s="579">
        <v>2</v>
      </c>
      <c r="I13" s="580">
        <v>0</v>
      </c>
      <c r="J13" s="601">
        <f t="shared" si="2"/>
        <v>0</v>
      </c>
      <c r="K13" s="601">
        <f t="shared" si="3"/>
        <v>0</v>
      </c>
      <c r="L13" s="601">
        <f t="shared" si="3"/>
        <v>0</v>
      </c>
      <c r="M13" s="601">
        <f t="shared" si="3"/>
        <v>0</v>
      </c>
      <c r="N13" s="601">
        <f t="shared" si="3"/>
        <v>0</v>
      </c>
      <c r="O13" s="601">
        <f t="shared" si="3"/>
        <v>0</v>
      </c>
      <c r="P13" s="601">
        <f t="shared" si="3"/>
        <v>0</v>
      </c>
      <c r="Q13" s="564"/>
    </row>
    <row r="14" spans="1:30" ht="28.8">
      <c r="A14" s="581">
        <v>11</v>
      </c>
      <c r="B14" s="582" t="s">
        <v>420</v>
      </c>
      <c r="C14" s="582" t="s">
        <v>423</v>
      </c>
      <c r="D14" s="583">
        <v>400000</v>
      </c>
      <c r="E14" s="582" t="s">
        <v>38</v>
      </c>
      <c r="F14" s="584" t="s">
        <v>460</v>
      </c>
      <c r="G14" s="584">
        <v>23</v>
      </c>
      <c r="H14" s="584">
        <v>3</v>
      </c>
      <c r="I14" s="585">
        <f>+'Data Worksheet'!F7</f>
        <v>1.4999999999999999E-2</v>
      </c>
      <c r="J14" s="600">
        <f t="shared" si="2"/>
        <v>0</v>
      </c>
      <c r="K14" s="600">
        <f t="shared" si="3"/>
        <v>0</v>
      </c>
      <c r="L14" s="600">
        <f t="shared" si="3"/>
        <v>133333.33333333334</v>
      </c>
      <c r="M14" s="600">
        <f t="shared" si="3"/>
        <v>266666.66666666669</v>
      </c>
      <c r="N14" s="600">
        <f t="shared" si="3"/>
        <v>400000</v>
      </c>
      <c r="O14" s="600">
        <f t="shared" si="3"/>
        <v>405999.99999999994</v>
      </c>
      <c r="P14" s="600">
        <f t="shared" si="3"/>
        <v>412089.99999999988</v>
      </c>
      <c r="Q14" s="564"/>
    </row>
    <row r="15" spans="1:30" ht="28.8">
      <c r="A15" s="576">
        <v>12</v>
      </c>
      <c r="B15" s="577" t="s">
        <v>420</v>
      </c>
      <c r="C15" s="577" t="s">
        <v>424</v>
      </c>
      <c r="D15" s="578">
        <v>200000</v>
      </c>
      <c r="E15" s="577" t="s">
        <v>38</v>
      </c>
      <c r="F15" s="579"/>
      <c r="G15" s="579">
        <v>27</v>
      </c>
      <c r="H15" s="579">
        <v>1</v>
      </c>
      <c r="I15" s="580">
        <v>0.03</v>
      </c>
      <c r="J15" s="601">
        <f t="shared" si="2"/>
        <v>0</v>
      </c>
      <c r="K15" s="601">
        <f t="shared" si="3"/>
        <v>0</v>
      </c>
      <c r="L15" s="601">
        <f t="shared" si="3"/>
        <v>0</v>
      </c>
      <c r="M15" s="601">
        <f t="shared" si="3"/>
        <v>0</v>
      </c>
      <c r="N15" s="601">
        <f t="shared" si="3"/>
        <v>0</v>
      </c>
      <c r="O15" s="601">
        <f t="shared" si="3"/>
        <v>0</v>
      </c>
      <c r="P15" s="601">
        <f t="shared" si="3"/>
        <v>0</v>
      </c>
      <c r="Q15" s="564"/>
    </row>
    <row r="16" spans="1:30" ht="28.8">
      <c r="A16" s="581">
        <v>13</v>
      </c>
      <c r="B16" s="582" t="s">
        <v>420</v>
      </c>
      <c r="C16" s="582" t="s">
        <v>374</v>
      </c>
      <c r="D16" s="583">
        <v>583000</v>
      </c>
      <c r="E16" s="582" t="s">
        <v>26</v>
      </c>
      <c r="F16" s="584"/>
      <c r="G16" s="584">
        <v>27</v>
      </c>
      <c r="H16" s="584">
        <v>1</v>
      </c>
      <c r="I16" s="585">
        <f>+'Data Worksheet'!F11</f>
        <v>0.03</v>
      </c>
      <c r="J16" s="600">
        <f t="shared" si="2"/>
        <v>0</v>
      </c>
      <c r="K16" s="600">
        <f t="shared" si="3"/>
        <v>0</v>
      </c>
      <c r="L16" s="600">
        <f t="shared" si="3"/>
        <v>0</v>
      </c>
      <c r="M16" s="600">
        <f t="shared" si="3"/>
        <v>0</v>
      </c>
      <c r="N16" s="600">
        <f t="shared" si="3"/>
        <v>0</v>
      </c>
      <c r="O16" s="600">
        <f t="shared" si="3"/>
        <v>0</v>
      </c>
      <c r="P16" s="600">
        <f t="shared" si="3"/>
        <v>0</v>
      </c>
      <c r="Q16" s="564"/>
    </row>
    <row r="17" spans="1:17" ht="28.8">
      <c r="A17" s="576">
        <v>14</v>
      </c>
      <c r="B17" s="577" t="s">
        <v>420</v>
      </c>
      <c r="C17" s="577" t="s">
        <v>425</v>
      </c>
      <c r="D17" s="578">
        <v>50000</v>
      </c>
      <c r="E17" s="577" t="s">
        <v>414</v>
      </c>
      <c r="F17" s="579" t="s">
        <v>460</v>
      </c>
      <c r="G17" s="579">
        <v>22</v>
      </c>
      <c r="H17" s="579">
        <v>1</v>
      </c>
      <c r="I17" s="580">
        <v>0.03</v>
      </c>
      <c r="J17" s="601">
        <f t="shared" si="2"/>
        <v>0</v>
      </c>
      <c r="K17" s="601">
        <f t="shared" si="3"/>
        <v>50000</v>
      </c>
      <c r="L17" s="601">
        <f t="shared" si="3"/>
        <v>51500</v>
      </c>
      <c r="M17" s="601">
        <f t="shared" si="3"/>
        <v>53045</v>
      </c>
      <c r="N17" s="601">
        <f t="shared" si="3"/>
        <v>54636.35</v>
      </c>
      <c r="O17" s="601">
        <f t="shared" si="3"/>
        <v>56275.440499999997</v>
      </c>
      <c r="P17" s="601">
        <f t="shared" si="3"/>
        <v>57963.703714999996</v>
      </c>
      <c r="Q17" s="564"/>
    </row>
    <row r="18" spans="1:17">
      <c r="A18" s="581">
        <v>15</v>
      </c>
      <c r="B18" s="582" t="s">
        <v>426</v>
      </c>
      <c r="C18" s="582" t="s">
        <v>427</v>
      </c>
      <c r="D18" s="583">
        <v>485000</v>
      </c>
      <c r="E18" s="582" t="s">
        <v>414</v>
      </c>
      <c r="F18" s="584"/>
      <c r="G18" s="584">
        <v>22</v>
      </c>
      <c r="H18" s="584">
        <v>1</v>
      </c>
      <c r="I18" s="585">
        <f>+'Data Worksheet'!F7</f>
        <v>1.4999999999999999E-2</v>
      </c>
      <c r="J18" s="600">
        <f t="shared" si="2"/>
        <v>0</v>
      </c>
      <c r="K18" s="600">
        <f t="shared" si="3"/>
        <v>0</v>
      </c>
      <c r="L18" s="600">
        <f t="shared" si="3"/>
        <v>0</v>
      </c>
      <c r="M18" s="600">
        <f t="shared" si="3"/>
        <v>0</v>
      </c>
      <c r="N18" s="600">
        <f t="shared" si="3"/>
        <v>0</v>
      </c>
      <c r="O18" s="600">
        <f t="shared" si="3"/>
        <v>0</v>
      </c>
      <c r="P18" s="600">
        <f t="shared" si="3"/>
        <v>0</v>
      </c>
      <c r="Q18" s="564"/>
    </row>
    <row r="19" spans="1:17">
      <c r="A19" s="576">
        <v>16</v>
      </c>
      <c r="B19" s="577" t="s">
        <v>426</v>
      </c>
      <c r="C19" s="577" t="s">
        <v>428</v>
      </c>
      <c r="D19" s="578">
        <v>540000</v>
      </c>
      <c r="E19" s="577" t="s">
        <v>414</v>
      </c>
      <c r="F19" s="579"/>
      <c r="G19" s="579">
        <v>22</v>
      </c>
      <c r="H19" s="579">
        <v>1</v>
      </c>
      <c r="I19" s="580">
        <f>+'Data Worksheet'!F9</f>
        <v>0.03</v>
      </c>
      <c r="J19" s="601">
        <f t="shared" si="2"/>
        <v>0</v>
      </c>
      <c r="K19" s="601">
        <f t="shared" si="3"/>
        <v>0</v>
      </c>
      <c r="L19" s="601">
        <f t="shared" si="3"/>
        <v>0</v>
      </c>
      <c r="M19" s="601">
        <f t="shared" si="3"/>
        <v>0</v>
      </c>
      <c r="N19" s="601">
        <f t="shared" si="3"/>
        <v>0</v>
      </c>
      <c r="O19" s="601">
        <f t="shared" si="3"/>
        <v>0</v>
      </c>
      <c r="P19" s="601">
        <f t="shared" si="3"/>
        <v>0</v>
      </c>
      <c r="Q19" s="564"/>
    </row>
    <row r="20" spans="1:17" ht="28.8">
      <c r="A20" s="581">
        <v>17</v>
      </c>
      <c r="B20" s="582" t="s">
        <v>426</v>
      </c>
      <c r="C20" s="582" t="s">
        <v>429</v>
      </c>
      <c r="D20" s="583">
        <v>458000</v>
      </c>
      <c r="E20" s="582" t="s">
        <v>414</v>
      </c>
      <c r="F20" s="584"/>
      <c r="G20" s="584">
        <v>24</v>
      </c>
      <c r="H20" s="584">
        <v>1</v>
      </c>
      <c r="I20" s="585">
        <f>+'Data Worksheet'!F7</f>
        <v>1.4999999999999999E-2</v>
      </c>
      <c r="J20" s="600">
        <f t="shared" si="2"/>
        <v>0</v>
      </c>
      <c r="K20" s="600">
        <f t="shared" si="3"/>
        <v>0</v>
      </c>
      <c r="L20" s="600">
        <f t="shared" si="3"/>
        <v>0</v>
      </c>
      <c r="M20" s="600">
        <f t="shared" si="3"/>
        <v>0</v>
      </c>
      <c r="N20" s="600">
        <f t="shared" si="3"/>
        <v>0</v>
      </c>
      <c r="O20" s="600">
        <f t="shared" si="3"/>
        <v>0</v>
      </c>
      <c r="P20" s="600">
        <f t="shared" si="3"/>
        <v>0</v>
      </c>
      <c r="Q20" s="564"/>
    </row>
    <row r="21" spans="1:17">
      <c r="A21" s="576">
        <v>18</v>
      </c>
      <c r="B21" s="577" t="s">
        <v>442</v>
      </c>
      <c r="C21" s="577" t="s">
        <v>430</v>
      </c>
      <c r="D21" s="578">
        <v>10000</v>
      </c>
      <c r="E21" s="577" t="s">
        <v>431</v>
      </c>
      <c r="F21" s="602"/>
      <c r="G21" s="602">
        <v>27</v>
      </c>
      <c r="H21" s="602">
        <v>1</v>
      </c>
      <c r="I21" s="603">
        <v>-1</v>
      </c>
      <c r="J21" s="604">
        <f t="shared" si="2"/>
        <v>0</v>
      </c>
      <c r="K21" s="604">
        <f t="shared" ref="K21:P25" si="8">IF($F21&lt;&gt;"x",0,IF($G21&gt;K$3,0,IF(K$3&gt;=$G21+$H21,J21*(1+$I21),$D21*(K$3-$G21+1)/$H21)))</f>
        <v>0</v>
      </c>
      <c r="L21" s="604">
        <f t="shared" si="8"/>
        <v>0</v>
      </c>
      <c r="M21" s="604">
        <f t="shared" si="8"/>
        <v>0</v>
      </c>
      <c r="N21" s="604">
        <f t="shared" si="8"/>
        <v>0</v>
      </c>
      <c r="O21" s="604">
        <f t="shared" si="8"/>
        <v>0</v>
      </c>
      <c r="P21" s="604">
        <f t="shared" si="8"/>
        <v>0</v>
      </c>
      <c r="Q21" s="564"/>
    </row>
    <row r="22" spans="1:17" ht="43.2">
      <c r="A22" s="581">
        <v>19</v>
      </c>
      <c r="B22" s="582" t="s">
        <v>442</v>
      </c>
      <c r="C22" s="582" t="s">
        <v>432</v>
      </c>
      <c r="D22" s="583">
        <v>325000</v>
      </c>
      <c r="E22" s="582" t="s">
        <v>414</v>
      </c>
      <c r="F22" s="584"/>
      <c r="G22" s="584">
        <v>26</v>
      </c>
      <c r="H22" s="584">
        <v>2</v>
      </c>
      <c r="I22" s="585">
        <v>0.03</v>
      </c>
      <c r="J22" s="600">
        <f t="shared" si="2"/>
        <v>0</v>
      </c>
      <c r="K22" s="600">
        <f t="shared" si="8"/>
        <v>0</v>
      </c>
      <c r="L22" s="600">
        <f t="shared" si="8"/>
        <v>0</v>
      </c>
      <c r="M22" s="600">
        <f t="shared" si="8"/>
        <v>0</v>
      </c>
      <c r="N22" s="600">
        <f t="shared" si="8"/>
        <v>0</v>
      </c>
      <c r="O22" s="600">
        <f t="shared" si="8"/>
        <v>0</v>
      </c>
      <c r="P22" s="600">
        <f t="shared" si="8"/>
        <v>0</v>
      </c>
      <c r="Q22" s="564"/>
    </row>
    <row r="23" spans="1:17" ht="28.8">
      <c r="A23" s="576">
        <v>20</v>
      </c>
      <c r="B23" s="577" t="s">
        <v>442</v>
      </c>
      <c r="C23" s="577" t="s">
        <v>433</v>
      </c>
      <c r="D23" s="578">
        <v>600000</v>
      </c>
      <c r="E23" s="577" t="s">
        <v>414</v>
      </c>
      <c r="F23" s="579" t="s">
        <v>460</v>
      </c>
      <c r="G23" s="579">
        <v>26</v>
      </c>
      <c r="H23" s="579">
        <v>1</v>
      </c>
      <c r="I23" s="580">
        <v>0.03</v>
      </c>
      <c r="J23" s="601">
        <f t="shared" si="2"/>
        <v>0</v>
      </c>
      <c r="K23" s="601">
        <f t="shared" si="8"/>
        <v>0</v>
      </c>
      <c r="L23" s="601">
        <f t="shared" si="8"/>
        <v>0</v>
      </c>
      <c r="M23" s="601">
        <f t="shared" si="8"/>
        <v>0</v>
      </c>
      <c r="N23" s="601">
        <f t="shared" si="8"/>
        <v>0</v>
      </c>
      <c r="O23" s="601">
        <f t="shared" si="8"/>
        <v>600000</v>
      </c>
      <c r="P23" s="601">
        <f t="shared" si="8"/>
        <v>618000</v>
      </c>
      <c r="Q23" s="564"/>
    </row>
    <row r="24" spans="1:17" ht="28.8">
      <c r="A24" s="586">
        <v>21</v>
      </c>
      <c r="B24" s="563" t="s">
        <v>442</v>
      </c>
      <c r="C24" s="563" t="s">
        <v>434</v>
      </c>
      <c r="D24" s="587">
        <v>50000</v>
      </c>
      <c r="E24" s="563" t="s">
        <v>26</v>
      </c>
      <c r="F24" s="588" t="s">
        <v>460</v>
      </c>
      <c r="G24" s="588">
        <v>21</v>
      </c>
      <c r="H24" s="588">
        <v>1</v>
      </c>
      <c r="I24" s="589">
        <v>0.03</v>
      </c>
      <c r="J24" s="600">
        <f t="shared" si="2"/>
        <v>50000</v>
      </c>
      <c r="K24" s="600">
        <f t="shared" si="8"/>
        <v>51500</v>
      </c>
      <c r="L24" s="600">
        <f t="shared" si="8"/>
        <v>53045</v>
      </c>
      <c r="M24" s="600">
        <f t="shared" si="8"/>
        <v>54636.35</v>
      </c>
      <c r="N24" s="600">
        <f t="shared" si="8"/>
        <v>56275.440499999997</v>
      </c>
      <c r="O24" s="600">
        <f t="shared" si="8"/>
        <v>57963.703714999996</v>
      </c>
      <c r="P24" s="600">
        <f t="shared" si="8"/>
        <v>59702.614826450001</v>
      </c>
      <c r="Q24" s="564"/>
    </row>
    <row r="25" spans="1:17" ht="28.8">
      <c r="A25" s="576">
        <v>22</v>
      </c>
      <c r="B25" s="577" t="s">
        <v>442</v>
      </c>
      <c r="C25" s="577" t="s">
        <v>456</v>
      </c>
      <c r="D25" s="578">
        <v>90000</v>
      </c>
      <c r="E25" s="577" t="s">
        <v>26</v>
      </c>
      <c r="F25" s="579" t="s">
        <v>460</v>
      </c>
      <c r="G25" s="579">
        <v>21</v>
      </c>
      <c r="H25" s="579">
        <v>1</v>
      </c>
      <c r="I25" s="580">
        <v>0.03</v>
      </c>
      <c r="J25" s="601">
        <f t="shared" si="2"/>
        <v>90000</v>
      </c>
      <c r="K25" s="601">
        <f t="shared" si="8"/>
        <v>92700</v>
      </c>
      <c r="L25" s="601">
        <f t="shared" si="8"/>
        <v>95481</v>
      </c>
      <c r="M25" s="601">
        <f t="shared" si="8"/>
        <v>98345.430000000008</v>
      </c>
      <c r="N25" s="601">
        <f t="shared" si="8"/>
        <v>101295.79290000001</v>
      </c>
      <c r="O25" s="601">
        <f t="shared" si="8"/>
        <v>104334.66668700002</v>
      </c>
      <c r="P25" s="601">
        <f t="shared" si="8"/>
        <v>107464.70668761003</v>
      </c>
    </row>
    <row r="50" spans="18:30">
      <c r="S50" s="592" t="s">
        <v>361</v>
      </c>
      <c r="T50" s="592" t="s">
        <v>362</v>
      </c>
      <c r="U50" s="592" t="s">
        <v>363</v>
      </c>
      <c r="V50" s="592" t="s">
        <v>364</v>
      </c>
      <c r="W50" s="592" t="s">
        <v>365</v>
      </c>
      <c r="X50" s="592" t="s">
        <v>366</v>
      </c>
      <c r="Y50" s="592" t="s">
        <v>370</v>
      </c>
      <c r="Z50" s="592" t="s">
        <v>371</v>
      </c>
      <c r="AA50" s="596"/>
      <c r="AB50" s="596"/>
      <c r="AC50" s="596"/>
      <c r="AD50" s="596"/>
    </row>
    <row r="51" spans="18:30">
      <c r="R51" t="s">
        <v>452</v>
      </c>
      <c r="S51" s="7">
        <f>+'Recession Forecast'!C58</f>
        <v>3500000</v>
      </c>
      <c r="T51" s="7">
        <f>+'Recession Forecast'!D58</f>
        <v>3554365.7086000014</v>
      </c>
      <c r="U51" s="7">
        <f>+T54</f>
        <v>3150205.0164880008</v>
      </c>
      <c r="V51" s="7">
        <f t="shared" ref="V51:Z51" si="9">+U54</f>
        <v>3127300.0187587179</v>
      </c>
      <c r="W51" s="7">
        <f t="shared" si="9"/>
        <v>3138778.4382782406</v>
      </c>
      <c r="X51" s="7">
        <f t="shared" si="9"/>
        <v>3392344.8395181461</v>
      </c>
      <c r="Y51" s="7">
        <f t="shared" si="9"/>
        <v>3456009.0723297661</v>
      </c>
      <c r="Z51" s="7">
        <f t="shared" si="9"/>
        <v>3779297.9302375382</v>
      </c>
      <c r="AA51" s="7"/>
      <c r="AB51" s="7"/>
      <c r="AC51" s="7"/>
      <c r="AD51" s="7"/>
    </row>
    <row r="52" spans="18:30">
      <c r="R52" t="s">
        <v>450</v>
      </c>
      <c r="S52" s="7">
        <f>+'Recession Forecast'!D55</f>
        <v>54365.70860000141</v>
      </c>
      <c r="T52" s="7">
        <f>+'Recession Forecast'!E55</f>
        <v>-599160.69211200066</v>
      </c>
      <c r="U52" s="7">
        <f>+'Recession Forecast'!F55</f>
        <v>-373754.99772928283</v>
      </c>
      <c r="V52" s="7">
        <f>+'Recession Forecast'!G55</f>
        <v>-703230.4138138108</v>
      </c>
      <c r="W52" s="7">
        <f>+'Recession Forecast'!H55</f>
        <v>-728317.03042676114</v>
      </c>
      <c r="X52" s="7">
        <f>+'Recession Forecast'!I55</f>
        <v>-1074209.0351383798</v>
      </c>
      <c r="Y52" s="7">
        <f>+'Recession Forecast'!J55</f>
        <v>-1443962.608080728</v>
      </c>
      <c r="Z52" s="7">
        <f>+'Recession Forecast'!K55</f>
        <v>-1811508.3878684584</v>
      </c>
      <c r="AA52" s="7"/>
      <c r="AB52" s="7"/>
      <c r="AC52" s="7"/>
      <c r="AD52" s="7"/>
    </row>
    <row r="53" spans="18:30">
      <c r="R53" t="s">
        <v>451</v>
      </c>
      <c r="S53" s="594">
        <f t="shared" ref="S53:Z53" si="10">+S11</f>
        <v>0</v>
      </c>
      <c r="T53" s="594">
        <f t="shared" si="10"/>
        <v>195000</v>
      </c>
      <c r="U53" s="594">
        <f t="shared" si="10"/>
        <v>350850</v>
      </c>
      <c r="V53" s="594">
        <f t="shared" si="10"/>
        <v>714708.83333333337</v>
      </c>
      <c r="W53" s="594">
        <f t="shared" si="10"/>
        <v>981883.43166666664</v>
      </c>
      <c r="X53" s="594">
        <f t="shared" si="10"/>
        <v>1137873.26795</v>
      </c>
      <c r="Y53" s="594">
        <f t="shared" si="10"/>
        <v>1767251.4659885</v>
      </c>
      <c r="Z53" s="594">
        <f t="shared" si="10"/>
        <v>1815464.4799681548</v>
      </c>
      <c r="AA53" s="594"/>
      <c r="AB53" s="594"/>
      <c r="AC53" s="594"/>
      <c r="AD53" s="594"/>
    </row>
    <row r="54" spans="18:30" ht="15" thickBot="1">
      <c r="R54" t="s">
        <v>453</v>
      </c>
      <c r="S54" s="595">
        <f>SUM(S51:S53)</f>
        <v>3554365.7086000014</v>
      </c>
      <c r="T54" s="595">
        <f>SUM(T51:T53)</f>
        <v>3150205.0164880008</v>
      </c>
      <c r="U54" s="595">
        <f t="shared" ref="U54:Z54" si="11">SUM(U51:U53)</f>
        <v>3127300.0187587179</v>
      </c>
      <c r="V54" s="595">
        <f t="shared" si="11"/>
        <v>3138778.4382782406</v>
      </c>
      <c r="W54" s="595">
        <f t="shared" si="11"/>
        <v>3392344.8395181461</v>
      </c>
      <c r="X54" s="595">
        <f t="shared" si="11"/>
        <v>3456009.0723297661</v>
      </c>
      <c r="Y54" s="595">
        <f t="shared" si="11"/>
        <v>3779297.9302375382</v>
      </c>
      <c r="Z54" s="595">
        <f t="shared" si="11"/>
        <v>3783254.0223372346</v>
      </c>
      <c r="AA54" s="598"/>
      <c r="AB54" s="598"/>
      <c r="AC54" s="598"/>
      <c r="AD54" s="598"/>
    </row>
    <row r="55" spans="18:30" ht="15" thickTop="1">
      <c r="R55" t="s">
        <v>454</v>
      </c>
      <c r="S55" s="7">
        <f>Dashboard!E217</f>
        <v>2477258.1622800003</v>
      </c>
      <c r="T55" s="7">
        <f>Dashboard!F217</f>
        <v>2621007.5070168003</v>
      </c>
      <c r="U55" s="7">
        <f>Dashboard!G217</f>
        <v>2736808.0350526082</v>
      </c>
      <c r="V55" s="7">
        <f>Dashboard!H217</f>
        <v>2894259.2205367684</v>
      </c>
      <c r="W55" s="7">
        <f>Dashboard!I217</f>
        <v>2992296.9818255594</v>
      </c>
      <c r="X55" s="7">
        <f>Dashboard!J217</f>
        <v>3104875.4845911767</v>
      </c>
      <c r="Y55" s="7">
        <f>Dashboard!K217</f>
        <v>3221954.7412138521</v>
      </c>
      <c r="Z55" s="7">
        <f>Dashboard!L217</f>
        <v>3343725.305109228</v>
      </c>
      <c r="AA55" s="7"/>
      <c r="AB55" s="7"/>
      <c r="AC55" s="7"/>
      <c r="AD55" s="7"/>
    </row>
    <row r="56" spans="18:30">
      <c r="R56" s="605" t="s">
        <v>455</v>
      </c>
      <c r="S56" s="7">
        <f>+S52+S53</f>
        <v>54365.70860000141</v>
      </c>
      <c r="T56" s="7">
        <f>+T52+T53</f>
        <v>-404160.69211200066</v>
      </c>
      <c r="U56" s="7">
        <f t="shared" ref="U56:Z56" si="12">+U52+U53</f>
        <v>-22904.997729282826</v>
      </c>
      <c r="V56" s="7">
        <f t="shared" si="12"/>
        <v>11478.419519522577</v>
      </c>
      <c r="W56" s="7">
        <f t="shared" si="12"/>
        <v>253566.40123990551</v>
      </c>
      <c r="X56" s="7">
        <f t="shared" si="12"/>
        <v>63664.232811620226</v>
      </c>
      <c r="Y56" s="7">
        <f t="shared" si="12"/>
        <v>323288.85790777206</v>
      </c>
      <c r="Z56" s="7">
        <f t="shared" si="12"/>
        <v>3956.0920996963978</v>
      </c>
      <c r="AA56" s="7"/>
      <c r="AB56" s="7"/>
      <c r="AC56" s="7"/>
      <c r="AD56" s="7"/>
    </row>
    <row r="136" spans="4:4">
      <c r="D136" s="562"/>
    </row>
    <row r="137" spans="4:4">
      <c r="D137" s="562"/>
    </row>
    <row r="138" spans="4:4">
      <c r="D138" s="562"/>
    </row>
    <row r="139" spans="4:4">
      <c r="D139" s="562"/>
    </row>
    <row r="140" spans="4:4">
      <c r="D140" s="562"/>
    </row>
    <row r="141" spans="4:4">
      <c r="D141" s="562"/>
    </row>
    <row r="142" spans="4:4">
      <c r="D142" s="562"/>
    </row>
    <row r="143" spans="4:4">
      <c r="D143" s="562"/>
    </row>
    <row r="144" spans="4:4">
      <c r="D144" s="562"/>
    </row>
    <row r="145" spans="4:4">
      <c r="D145" s="562"/>
    </row>
    <row r="146" spans="4:4">
      <c r="D146" s="562"/>
    </row>
    <row r="147" spans="4:4">
      <c r="D147" s="562"/>
    </row>
    <row r="148" spans="4:4">
      <c r="D148" s="562"/>
    </row>
  </sheetData>
  <sheetProtection algorithmName="SHA-512" hashValue="aSe1kf7hVb5y/ji+pFca1ZnDjnkFLzoE01Zixlo0lCKAHJxeku9N9FrpmqCfPMl52sYX2sRWYPaOnK20HIGb/Q==" saltValue="TaCFH/CyrT5l/0SYqBWUEA==" spinCount="100000" sheet="1" objects="1" scenarios="1" selectLockedCells="1" selectUnlockedCells="1"/>
  <conditionalFormatting sqref="C4:D25">
    <cfRule type="expression" dxfId="113" priority="1">
      <formula>$F4="x"</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CFF99"/>
    <pageSetUpPr fitToPage="1"/>
  </sheetPr>
  <dimension ref="A1:U58"/>
  <sheetViews>
    <sheetView zoomScale="115" zoomScaleNormal="115" workbookViewId="0">
      <pane xSplit="1" ySplit="2" topLeftCell="B3" activePane="bottomRight" state="frozen"/>
      <selection pane="topRight" activeCell="B1" sqref="B1"/>
      <selection pane="bottomLeft" activeCell="A3" sqref="A3"/>
      <selection pane="bottomRight" activeCell="C5" sqref="C5"/>
    </sheetView>
  </sheetViews>
  <sheetFormatPr defaultRowHeight="14.4"/>
  <cols>
    <col min="1" max="1" width="26.6640625" customWidth="1"/>
    <col min="2" max="11" width="13.6640625" customWidth="1"/>
    <col min="12" max="12" width="8.5546875" customWidth="1"/>
    <col min="13" max="21" width="10.6640625" customWidth="1"/>
  </cols>
  <sheetData>
    <row r="1" spans="1:21" ht="15.6">
      <c r="A1" s="261" t="str">
        <f>IF(Dashboard!B90="","YOUR CITY",UPPER(Dashboard!B90))</f>
        <v>KENMORE, WA</v>
      </c>
      <c r="B1" s="262"/>
      <c r="C1" s="262"/>
      <c r="D1" s="262"/>
      <c r="E1" s="262"/>
      <c r="F1" s="262"/>
      <c r="G1" s="262"/>
      <c r="H1" s="262"/>
      <c r="I1" s="262"/>
      <c r="J1" s="262"/>
      <c r="K1" s="262"/>
      <c r="L1" s="263"/>
      <c r="M1" s="264"/>
      <c r="N1" s="264"/>
      <c r="O1" s="264"/>
      <c r="P1" s="264"/>
      <c r="Q1" s="264"/>
      <c r="R1" s="264"/>
      <c r="S1" s="264"/>
      <c r="T1" s="264"/>
      <c r="U1" s="264"/>
    </row>
    <row r="2" spans="1:21" ht="15.6">
      <c r="A2" s="262" t="s">
        <v>141</v>
      </c>
      <c r="B2" s="265" t="s">
        <v>367</v>
      </c>
      <c r="C2" s="265" t="s">
        <v>368</v>
      </c>
      <c r="D2" s="265" t="s">
        <v>361</v>
      </c>
      <c r="E2" s="265" t="s">
        <v>362</v>
      </c>
      <c r="F2" s="265" t="s">
        <v>363</v>
      </c>
      <c r="G2" s="265" t="s">
        <v>364</v>
      </c>
      <c r="H2" s="265" t="s">
        <v>365</v>
      </c>
      <c r="I2" s="265" t="s">
        <v>366</v>
      </c>
      <c r="J2" s="265" t="s">
        <v>370</v>
      </c>
      <c r="K2" s="265" t="s">
        <v>371</v>
      </c>
      <c r="L2" s="263"/>
      <c r="M2" s="266">
        <v>19</v>
      </c>
      <c r="N2" s="266">
        <f t="shared" ref="N2:U2" si="0">M2+1</f>
        <v>20</v>
      </c>
      <c r="O2" s="266">
        <f t="shared" si="0"/>
        <v>21</v>
      </c>
      <c r="P2" s="266">
        <f t="shared" si="0"/>
        <v>22</v>
      </c>
      <c r="Q2" s="266">
        <f t="shared" si="0"/>
        <v>23</v>
      </c>
      <c r="R2" s="266">
        <f t="shared" si="0"/>
        <v>24</v>
      </c>
      <c r="S2" s="266">
        <f t="shared" si="0"/>
        <v>25</v>
      </c>
      <c r="T2" s="266">
        <f t="shared" si="0"/>
        <v>26</v>
      </c>
      <c r="U2" s="266">
        <f t="shared" si="0"/>
        <v>27</v>
      </c>
    </row>
    <row r="3" spans="1:21">
      <c r="A3" s="264" t="str">
        <f>+'Data Worksheet'!A7</f>
        <v>Property Tax</v>
      </c>
      <c r="B3" s="267">
        <f>Dashboard!C65*1000000</f>
        <v>4823386</v>
      </c>
      <c r="C3" s="267">
        <f>Dashboard!D65*1000000</f>
        <v>5050864</v>
      </c>
      <c r="D3" s="267">
        <f>Dashboard!E65*1000000</f>
        <v>5304000</v>
      </c>
      <c r="E3" s="307">
        <f>IF(OR(Bud_Calc=1,Dashboard!F65=""),D3*(1+PT_growth2)+Dashboard!G174*1000000,Dashboard!F65*1000000)</f>
        <v>5383559.9999999991</v>
      </c>
      <c r="F3" s="268">
        <f>E3*(1+PT_growth2)+Dashboard!H174*1000000</f>
        <v>5464313.3999999985</v>
      </c>
      <c r="G3" s="268">
        <f>F3*(1+PT_growth2)+Dashboard!I174*1000000</f>
        <v>5546278.1009999979</v>
      </c>
      <c r="H3" s="268">
        <f>G3*(1+PT_growth2)+Dashboard!J174*1000000</f>
        <v>5629472.2725149971</v>
      </c>
      <c r="I3" s="268">
        <f>H3*(1+PT_growth2)+Dashboard!K174*1000000</f>
        <v>5713914.3566027218</v>
      </c>
      <c r="J3" s="268">
        <f>I3*(1+PT_growth2)+Dashboard!L174*1000000</f>
        <v>5799623.0719517618</v>
      </c>
      <c r="K3" s="268">
        <f>J3*(1+PT_growth2)+Dashboard!M174*1000000</f>
        <v>5886617.4180310378</v>
      </c>
      <c r="L3" s="263"/>
      <c r="M3" s="269">
        <f t="shared" ref="M3:M23" si="1">IFERROR(C3/B3-1,0)</f>
        <v>4.716147536191384E-2</v>
      </c>
      <c r="N3" s="269">
        <f t="shared" ref="N3:N23" si="2">IFERROR(D3/C3-1,0)</f>
        <v>5.0117366058559432E-2</v>
      </c>
      <c r="O3" s="269">
        <f t="shared" ref="O3:O23" si="3">IFERROR(E3/D3-1,0)</f>
        <v>1.4999999999999902E-2</v>
      </c>
      <c r="P3" s="269">
        <f t="shared" ref="P3:P23" si="4">IFERROR(F3/E3-1,0)</f>
        <v>1.4999999999999902E-2</v>
      </c>
      <c r="Q3" s="269">
        <f t="shared" ref="Q3:Q23" si="5">IFERROR(G3/F3-1,0)</f>
        <v>1.4999999999999902E-2</v>
      </c>
      <c r="R3" s="269">
        <f t="shared" ref="R3:R23" si="6">IFERROR(H3/G3-1,0)</f>
        <v>1.4999999999999902E-2</v>
      </c>
      <c r="S3" s="269">
        <f t="shared" ref="S3:S23" si="7">IFERROR(I3/H3-1,0)</f>
        <v>1.4999999999999902E-2</v>
      </c>
      <c r="T3" s="269">
        <f t="shared" ref="T3:T23" si="8">IFERROR(J3/I3-1,0)</f>
        <v>1.4999999999999902E-2</v>
      </c>
      <c r="U3" s="269">
        <f t="shared" ref="U3:U23" si="9">IFERROR(K3/J3-1,0)</f>
        <v>1.4999999999999902E-2</v>
      </c>
    </row>
    <row r="4" spans="1:21">
      <c r="A4" s="264" t="str">
        <f>+'Data Worksheet'!A8</f>
        <v>Sales Tax</v>
      </c>
      <c r="B4" s="267">
        <f>Dashboard!C66*1000000</f>
        <v>3116754</v>
      </c>
      <c r="C4" s="267">
        <f>Dashboard!D66*1000000</f>
        <v>3493528</v>
      </c>
      <c r="D4" s="267">
        <f>Dashboard!E66*1000000</f>
        <v>3598000</v>
      </c>
      <c r="E4" s="307">
        <f>IF(OR(Bud_Calc=1,Dashboard!F66=""),D4*(1+ST_growth2)+Dashboard!G175*1000000,Dashboard!F66*1000000)</f>
        <v>3418100</v>
      </c>
      <c r="F4" s="268">
        <f>E4*(1+ST_growth2)+Dashboard!H175*1000000</f>
        <v>3520643</v>
      </c>
      <c r="G4" s="268">
        <f>F4*(1+ST_growth2)+Dashboard!I175*1000000</f>
        <v>3626262.29</v>
      </c>
      <c r="H4" s="268">
        <f>G4*(1+ST_growth2)+Dashboard!J175*1000000</f>
        <v>3735050.1587</v>
      </c>
      <c r="I4" s="268">
        <f>H4*(1+ST_growth2)+Dashboard!K175*1000000</f>
        <v>3847101.6634610002</v>
      </c>
      <c r="J4" s="268">
        <f>I4*(1+ST_growth2)+Dashboard!L175*1000000</f>
        <v>3962514.7133648302</v>
      </c>
      <c r="K4" s="268">
        <f>J4*(1+ST_growth2)+Dashboard!M175*1000000</f>
        <v>4081390.1547657754</v>
      </c>
      <c r="L4" s="263"/>
      <c r="M4" s="269">
        <f t="shared" si="1"/>
        <v>0.12088666606347509</v>
      </c>
      <c r="N4" s="269">
        <f t="shared" si="2"/>
        <v>2.9904440439578517E-2</v>
      </c>
      <c r="O4" s="269">
        <f t="shared" si="3"/>
        <v>-5.0000000000000044E-2</v>
      </c>
      <c r="P4" s="269">
        <f t="shared" si="4"/>
        <v>3.0000000000000027E-2</v>
      </c>
      <c r="Q4" s="269">
        <f t="shared" si="5"/>
        <v>3.0000000000000027E-2</v>
      </c>
      <c r="R4" s="269">
        <f t="shared" si="6"/>
        <v>3.0000000000000027E-2</v>
      </c>
      <c r="S4" s="269">
        <f t="shared" si="7"/>
        <v>3.0000000000000027E-2</v>
      </c>
      <c r="T4" s="269">
        <f t="shared" si="8"/>
        <v>3.0000000000000027E-2</v>
      </c>
      <c r="U4" s="269">
        <f t="shared" si="9"/>
        <v>3.0000000000000027E-2</v>
      </c>
    </row>
    <row r="5" spans="1:21">
      <c r="A5" s="264" t="str">
        <f>+'Data Worksheet'!A9</f>
        <v>Local Sales Tax</v>
      </c>
      <c r="B5" s="267">
        <f>Dashboard!C67*1000000</f>
        <v>0</v>
      </c>
      <c r="C5" s="267">
        <f>Dashboard!D67*1000000</f>
        <v>0</v>
      </c>
      <c r="D5" s="267">
        <f>Dashboard!E67*1000000</f>
        <v>0</v>
      </c>
      <c r="E5" s="307">
        <f>IF(OR(Bud_Calc=1,Dashboard!F67=""),D5*(1+ST_growth2)+Dashboard!G176*1000000,Dashboard!F67*1000000)</f>
        <v>0</v>
      </c>
      <c r="F5" s="268">
        <f>E5*(1+ST_growth2)+Dashboard!H176*1000000</f>
        <v>0</v>
      </c>
      <c r="G5" s="268">
        <f>F5*(1+ST_growth2)+Dashboard!I176*1000000</f>
        <v>0</v>
      </c>
      <c r="H5" s="268">
        <f>G5*(1+ST_growth2)+Dashboard!J176*1000000</f>
        <v>0</v>
      </c>
      <c r="I5" s="268">
        <f>H5*(1+ST_growth2)+Dashboard!K176*1000000</f>
        <v>0</v>
      </c>
      <c r="J5" s="268">
        <f>I5*(1+ST_growth2)+Dashboard!L176*1000000</f>
        <v>0</v>
      </c>
      <c r="K5" s="268">
        <f>J5*(1+ST_growth2)+Dashboard!M176*1000000</f>
        <v>0</v>
      </c>
      <c r="L5" s="263"/>
      <c r="M5" s="269">
        <f t="shared" ref="M5" si="10">IFERROR(C5/B5-1,0)</f>
        <v>0</v>
      </c>
      <c r="N5" s="269">
        <f t="shared" ref="N5" si="11">IFERROR(D5/C5-1,0)</f>
        <v>0</v>
      </c>
      <c r="O5" s="269">
        <f t="shared" ref="O5" si="12">IFERROR(E5/D5-1,0)</f>
        <v>0</v>
      </c>
      <c r="P5" s="269">
        <f t="shared" ref="P5" si="13">IFERROR(F5/E5-1,0)</f>
        <v>0</v>
      </c>
      <c r="Q5" s="269">
        <f t="shared" ref="Q5" si="14">IFERROR(G5/F5-1,0)</f>
        <v>0</v>
      </c>
      <c r="R5" s="269">
        <f t="shared" ref="R5" si="15">IFERROR(H5/G5-1,0)</f>
        <v>0</v>
      </c>
      <c r="S5" s="269">
        <f t="shared" ref="S5" si="16">IFERROR(I5/H5-1,0)</f>
        <v>0</v>
      </c>
      <c r="T5" s="269">
        <f t="shared" ref="T5" si="17">IFERROR(J5/I5-1,0)</f>
        <v>0</v>
      </c>
      <c r="U5" s="269">
        <f t="shared" ref="U5" si="18">IFERROR(K5/J5-1,0)</f>
        <v>0</v>
      </c>
    </row>
    <row r="6" spans="1:21">
      <c r="A6" s="264" t="str">
        <f>+'Data Worksheet'!A10</f>
        <v>Utility Tax</v>
      </c>
      <c r="B6" s="267">
        <f>Dashboard!C68*1000000</f>
        <v>1133510</v>
      </c>
      <c r="C6" s="267">
        <f>Dashboard!D68*1000000</f>
        <v>1029975.0000000001</v>
      </c>
      <c r="D6" s="267">
        <f>Dashboard!E68*1000000</f>
        <v>1239355</v>
      </c>
      <c r="E6" s="307">
        <f>IF(OR(Bud_Calc=1,Dashboard!F68=""),D6*(1+TUT_growth2)+Dashboard!G176*1000000,Dashboard!F68*1000000)</f>
        <v>1264142.1000000001</v>
      </c>
      <c r="F6" s="268">
        <f>E6*(1+TUT_growth2)+Dashboard!H176*1000000</f>
        <v>1289424.942</v>
      </c>
      <c r="G6" s="268">
        <f>F6*(1+TUT_growth2)+Dashboard!I176*1000000</f>
        <v>1315213.4408400001</v>
      </c>
      <c r="H6" s="268">
        <f>G6*(1+TUT_growth2)+Dashboard!J176*1000000</f>
        <v>1341517.7096568001</v>
      </c>
      <c r="I6" s="268">
        <f>H6*(1+TUT_growth2)+Dashboard!K176*1000000</f>
        <v>1368348.0638499362</v>
      </c>
      <c r="J6" s="268">
        <f>I6*(1+TUT_growth2)+Dashboard!L176*1000000</f>
        <v>1395715.025126935</v>
      </c>
      <c r="K6" s="268">
        <f>J6*(1+TUT_growth2)+Dashboard!M176*1000000</f>
        <v>1423629.3256294737</v>
      </c>
      <c r="L6" s="263"/>
      <c r="M6" s="269">
        <f t="shared" si="1"/>
        <v>-9.1340173443551387E-2</v>
      </c>
      <c r="N6" s="269">
        <f t="shared" si="2"/>
        <v>0.20328648753610512</v>
      </c>
      <c r="O6" s="269">
        <f>IFERROR(E6/D6-1,0)</f>
        <v>2.0000000000000018E-2</v>
      </c>
      <c r="P6" s="269">
        <f>IFERROR(F6/E6-1,0)</f>
        <v>2.0000000000000018E-2</v>
      </c>
      <c r="Q6" s="269">
        <f t="shared" si="5"/>
        <v>2.0000000000000018E-2</v>
      </c>
      <c r="R6" s="269">
        <f t="shared" si="6"/>
        <v>2.0000000000000018E-2</v>
      </c>
      <c r="S6" s="269">
        <f t="shared" si="7"/>
        <v>2.0000000000000018E-2</v>
      </c>
      <c r="T6" s="269">
        <f t="shared" si="8"/>
        <v>2.0000000000000018E-2</v>
      </c>
      <c r="U6" s="269">
        <f t="shared" si="9"/>
        <v>2.0000000000000018E-2</v>
      </c>
    </row>
    <row r="7" spans="1:21">
      <c r="A7" s="264" t="str">
        <f>+'Data Worksheet'!A11</f>
        <v>B&amp;O Tax</v>
      </c>
      <c r="B7" s="267">
        <f>Dashboard!C69*1000000</f>
        <v>24156</v>
      </c>
      <c r="C7" s="267">
        <f>Dashboard!D69*1000000</f>
        <v>21073</v>
      </c>
      <c r="D7" s="267">
        <f>Dashboard!E69*1000000</f>
        <v>19434</v>
      </c>
      <c r="E7" s="307">
        <f>IF(OR(Bud_Calc=1,Dashboard!F69=""),D7*(1+UUT_growth2)+Dashboard!G177*1000000,Dashboard!F69*1000000)</f>
        <v>20017.02</v>
      </c>
      <c r="F7" s="268">
        <f>E7*(1+UUT_growth2)+Dashboard!H177*1000000</f>
        <v>20617.530600000002</v>
      </c>
      <c r="G7" s="268">
        <f>F7*(1+UUT_growth2)+Dashboard!I177*1000000</f>
        <v>21236.056518000001</v>
      </c>
      <c r="H7" s="268">
        <f>G7*(1+UUT_growth2)+Dashboard!J177*1000000</f>
        <v>21873.138213540002</v>
      </c>
      <c r="I7" s="268">
        <f>H7*(1+UUT_growth2)+Dashboard!K177*1000000</f>
        <v>22529.332359946202</v>
      </c>
      <c r="J7" s="268">
        <f>I7*(1+UUT_growth2)+Dashboard!L177*1000000</f>
        <v>23205.212330744587</v>
      </c>
      <c r="K7" s="268">
        <f>J7*(1+UUT_growth2)+Dashboard!M177*1000000</f>
        <v>23901.368700666924</v>
      </c>
      <c r="L7" s="263"/>
      <c r="M7" s="269">
        <f t="shared" si="1"/>
        <v>-0.12762874648120548</v>
      </c>
      <c r="N7" s="269">
        <f t="shared" si="2"/>
        <v>-7.7777250510131402E-2</v>
      </c>
      <c r="O7" s="269">
        <f t="shared" si="3"/>
        <v>3.0000000000000027E-2</v>
      </c>
      <c r="P7" s="269">
        <f t="shared" si="4"/>
        <v>3.0000000000000027E-2</v>
      </c>
      <c r="Q7" s="269">
        <f t="shared" si="5"/>
        <v>3.0000000000000027E-2</v>
      </c>
      <c r="R7" s="269">
        <f t="shared" si="6"/>
        <v>3.0000000000000027E-2</v>
      </c>
      <c r="S7" s="269">
        <f t="shared" si="7"/>
        <v>3.0000000000000027E-2</v>
      </c>
      <c r="T7" s="269">
        <f t="shared" si="8"/>
        <v>3.0000000000000027E-2</v>
      </c>
      <c r="U7" s="269">
        <f t="shared" si="9"/>
        <v>3.0000000000000027E-2</v>
      </c>
    </row>
    <row r="8" spans="1:21">
      <c r="A8" s="264" t="str">
        <f>+'Data Worksheet'!A12</f>
        <v>Gambling Tax</v>
      </c>
      <c r="B8" s="267">
        <f>Dashboard!C70*1000000</f>
        <v>81794.999999999985</v>
      </c>
      <c r="C8" s="267">
        <f>Dashboard!D70*1000000</f>
        <v>102438</v>
      </c>
      <c r="D8" s="267">
        <f>Dashboard!E70*1000000</f>
        <v>72000</v>
      </c>
      <c r="E8" s="307">
        <f>IF(OR(Bud_Calc=1,Dashboard!F70=""),D8*(1+BLT_growth2),Dashboard!F70*1000000)</f>
        <v>72720</v>
      </c>
      <c r="F8" s="263">
        <f t="shared" ref="F8:K8" si="19">E8*(1+BLT_growth2)</f>
        <v>73447.199999999997</v>
      </c>
      <c r="G8" s="263">
        <f t="shared" si="19"/>
        <v>74181.671999999991</v>
      </c>
      <c r="H8" s="263">
        <f t="shared" si="19"/>
        <v>74923.488719999994</v>
      </c>
      <c r="I8" s="263">
        <f t="shared" si="19"/>
        <v>75672.723607199994</v>
      </c>
      <c r="J8" s="263">
        <f t="shared" si="19"/>
        <v>76429.450843271989</v>
      </c>
      <c r="K8" s="263">
        <f t="shared" si="19"/>
        <v>77193.745351704711</v>
      </c>
      <c r="L8" s="263"/>
      <c r="M8" s="269">
        <f t="shared" si="1"/>
        <v>0.25237483953786932</v>
      </c>
      <c r="N8" s="269">
        <f t="shared" si="2"/>
        <v>-0.29713582850114217</v>
      </c>
      <c r="O8" s="269">
        <f t="shared" si="3"/>
        <v>1.0000000000000009E-2</v>
      </c>
      <c r="P8" s="269">
        <f t="shared" si="4"/>
        <v>1.0000000000000009E-2</v>
      </c>
      <c r="Q8" s="269">
        <f t="shared" si="5"/>
        <v>1.0000000000000009E-2</v>
      </c>
      <c r="R8" s="269">
        <f t="shared" si="6"/>
        <v>1.0000000000000009E-2</v>
      </c>
      <c r="S8" s="269">
        <f t="shared" si="7"/>
        <v>1.0000000000000009E-2</v>
      </c>
      <c r="T8" s="269">
        <f t="shared" si="8"/>
        <v>1.0000000000000009E-2</v>
      </c>
      <c r="U8" s="269">
        <f t="shared" si="9"/>
        <v>1.0000000000000009E-2</v>
      </c>
    </row>
    <row r="9" spans="1:21">
      <c r="A9" s="264" t="str">
        <f>+'Data Worksheet'!A13</f>
        <v>Telecom Franchise Fees</v>
      </c>
      <c r="B9" s="267">
        <f>Dashboard!C71*1000000</f>
        <v>321541</v>
      </c>
      <c r="C9" s="267">
        <f>Dashboard!D71*1000000</f>
        <v>319856</v>
      </c>
      <c r="D9" s="267">
        <f>Dashboard!E71*1000000</f>
        <v>313500</v>
      </c>
      <c r="E9" s="307">
        <f>IF(OR(Bud_Calc=1,Dashboard!F71=""),D9*(1+TOT_growth2),Dashboard!F71*1000000)</f>
        <v>307230</v>
      </c>
      <c r="F9" s="263">
        <f t="shared" ref="F9:K9" si="20">E9*(1+TOT_growth2)</f>
        <v>301085.40000000002</v>
      </c>
      <c r="G9" s="263">
        <f t="shared" si="20"/>
        <v>295063.69200000004</v>
      </c>
      <c r="H9" s="263">
        <f t="shared" si="20"/>
        <v>289162.41816000006</v>
      </c>
      <c r="I9" s="263">
        <f t="shared" si="20"/>
        <v>283379.16979680007</v>
      </c>
      <c r="J9" s="263">
        <f t="shared" si="20"/>
        <v>277711.58640086406</v>
      </c>
      <c r="K9" s="263">
        <f t="shared" si="20"/>
        <v>272157.35467284679</v>
      </c>
      <c r="L9" s="263"/>
      <c r="M9" s="269">
        <f t="shared" si="1"/>
        <v>-5.2403892505155092E-3</v>
      </c>
      <c r="N9" s="269">
        <f t="shared" si="2"/>
        <v>-1.9871442148967078E-2</v>
      </c>
      <c r="O9" s="269">
        <f t="shared" si="3"/>
        <v>-2.0000000000000018E-2</v>
      </c>
      <c r="P9" s="269">
        <f t="shared" si="4"/>
        <v>-1.9999999999999907E-2</v>
      </c>
      <c r="Q9" s="269">
        <f t="shared" si="5"/>
        <v>-1.9999999999999907E-2</v>
      </c>
      <c r="R9" s="269">
        <f t="shared" si="6"/>
        <v>-1.9999999999999907E-2</v>
      </c>
      <c r="S9" s="269">
        <f t="shared" si="7"/>
        <v>-2.0000000000000018E-2</v>
      </c>
      <c r="T9" s="269">
        <f t="shared" si="8"/>
        <v>-2.0000000000000018E-2</v>
      </c>
      <c r="U9" s="269">
        <f t="shared" si="9"/>
        <v>-2.0000000000000018E-2</v>
      </c>
    </row>
    <row r="10" spans="1:21">
      <c r="A10" s="264" t="str">
        <f>+'Data Worksheet'!A14</f>
        <v>Water/Sewer Franchise Fees</v>
      </c>
      <c r="B10" s="267">
        <f>Dashboard!C72*1000000</f>
        <v>548186</v>
      </c>
      <c r="C10" s="267">
        <f>Dashboard!D72*1000000</f>
        <v>555016</v>
      </c>
      <c r="D10" s="267">
        <f>Dashboard!E72*1000000</f>
        <v>582980</v>
      </c>
      <c r="E10" s="307">
        <f>IF(OR(Bud_Calc=1,Dashboard!F72=""),D10*(1+RPTT_growth2),Dashboard!F72*1000000)</f>
        <v>594639.6</v>
      </c>
      <c r="F10" s="263">
        <f t="shared" ref="F10:K10" si="21">E10*(1+RPTT_growth2)</f>
        <v>606532.39199999999</v>
      </c>
      <c r="G10" s="263">
        <f t="shared" si="21"/>
        <v>618663.03983999998</v>
      </c>
      <c r="H10" s="263">
        <f t="shared" si="21"/>
        <v>631036.30063680001</v>
      </c>
      <c r="I10" s="263">
        <f t="shared" si="21"/>
        <v>643657.02664953598</v>
      </c>
      <c r="J10" s="263">
        <f t="shared" si="21"/>
        <v>656530.16718252667</v>
      </c>
      <c r="K10" s="263">
        <f t="shared" si="21"/>
        <v>669660.77052617725</v>
      </c>
      <c r="L10" s="263"/>
      <c r="M10" s="269">
        <f t="shared" si="1"/>
        <v>1.2459274771701612E-2</v>
      </c>
      <c r="N10" s="269">
        <f t="shared" si="2"/>
        <v>5.038413307003764E-2</v>
      </c>
      <c r="O10" s="269">
        <f t="shared" si="3"/>
        <v>2.0000000000000018E-2</v>
      </c>
      <c r="P10" s="269">
        <f t="shared" si="4"/>
        <v>2.0000000000000018E-2</v>
      </c>
      <c r="Q10" s="269">
        <f t="shared" si="5"/>
        <v>2.0000000000000018E-2</v>
      </c>
      <c r="R10" s="269">
        <f t="shared" si="6"/>
        <v>2.0000000000000018E-2</v>
      </c>
      <c r="S10" s="269">
        <f t="shared" si="7"/>
        <v>2.0000000000000018E-2</v>
      </c>
      <c r="T10" s="269">
        <f t="shared" si="8"/>
        <v>2.0000000000000018E-2</v>
      </c>
      <c r="U10" s="269">
        <f t="shared" si="9"/>
        <v>2.0000000000000018E-2</v>
      </c>
    </row>
    <row r="11" spans="1:21">
      <c r="A11" s="264" t="str">
        <f>+'Data Worksheet'!A15</f>
        <v>Reimbursements</v>
      </c>
      <c r="B11" s="267">
        <f>Dashboard!C73*1000000</f>
        <v>251613.00000000003</v>
      </c>
      <c r="C11" s="267">
        <f>Dashboard!D73*1000000</f>
        <v>163136</v>
      </c>
      <c r="D11" s="267">
        <f>Dashboard!E73*1000000</f>
        <v>793493</v>
      </c>
      <c r="E11" s="307">
        <f>IF(OR(Bud_Calc=1,Dashboard!F73=""),D11*(1+Franchise_growth2),Dashboard!F73*1000000)</f>
        <v>793493</v>
      </c>
      <c r="F11" s="263">
        <f t="shared" ref="F11:K11" si="22">E11*(1+Franchise_growth2)</f>
        <v>793493</v>
      </c>
      <c r="G11" s="263">
        <f t="shared" si="22"/>
        <v>793493</v>
      </c>
      <c r="H11" s="263">
        <f t="shared" si="22"/>
        <v>793493</v>
      </c>
      <c r="I11" s="263">
        <f t="shared" si="22"/>
        <v>793493</v>
      </c>
      <c r="J11" s="263">
        <f t="shared" si="22"/>
        <v>793493</v>
      </c>
      <c r="K11" s="263">
        <f t="shared" si="22"/>
        <v>793493</v>
      </c>
      <c r="L11" s="263"/>
      <c r="M11" s="269">
        <f t="shared" si="1"/>
        <v>-0.35163922372850376</v>
      </c>
      <c r="N11" s="269">
        <f t="shared" si="2"/>
        <v>3.8639969105531584</v>
      </c>
      <c r="O11" s="269">
        <f t="shared" si="3"/>
        <v>0</v>
      </c>
      <c r="P11" s="269">
        <f t="shared" si="4"/>
        <v>0</v>
      </c>
      <c r="Q11" s="269">
        <f t="shared" si="5"/>
        <v>0</v>
      </c>
      <c r="R11" s="269">
        <f t="shared" si="6"/>
        <v>0</v>
      </c>
      <c r="S11" s="269">
        <f t="shared" si="7"/>
        <v>0</v>
      </c>
      <c r="T11" s="269">
        <f t="shared" si="8"/>
        <v>0</v>
      </c>
      <c r="U11" s="269">
        <f t="shared" si="9"/>
        <v>0</v>
      </c>
    </row>
    <row r="12" spans="1:21">
      <c r="A12" s="264" t="str">
        <f>+'Data Worksheet'!A16</f>
        <v>All Other Taxes</v>
      </c>
      <c r="B12" s="267">
        <f>Dashboard!C74*1000000</f>
        <v>66200.999999999956</v>
      </c>
      <c r="C12" s="267">
        <f>Dashboard!D74*1000000</f>
        <v>65656.000000000015</v>
      </c>
      <c r="D12" s="267">
        <f>Dashboard!E74*1000000</f>
        <v>17022.000000000051</v>
      </c>
      <c r="E12" s="307">
        <f>IF(OR(Bud_Calc=1,Dashboard!F74=""),D12*(1+OtherTax_growth2)+Dashboard!G178*1000000,Dashboard!F74*1000000)</f>
        <v>17022.000000000051</v>
      </c>
      <c r="F12" s="268">
        <f>E12*(1+OtherTax_growth2)+Dashboard!H178*1000000</f>
        <v>17022.000000000051</v>
      </c>
      <c r="G12" s="268">
        <f>F12*(1+OtherTax_growth2)+Dashboard!I178*1000000</f>
        <v>17022.000000000051</v>
      </c>
      <c r="H12" s="268">
        <f>G12*(1+OtherTax_growth2)+Dashboard!J178*1000000</f>
        <v>17022.000000000051</v>
      </c>
      <c r="I12" s="268">
        <f>H12*(1+OtherTax_growth2)+Dashboard!K178*1000000</f>
        <v>17022.000000000051</v>
      </c>
      <c r="J12" s="268">
        <f>I12*(1+OtherTax_growth2)+Dashboard!L178*1000000</f>
        <v>17022.000000000051</v>
      </c>
      <c r="K12" s="268">
        <f>J12*(1+OtherTax_growth2)+Dashboard!M178*1000000</f>
        <v>17022.000000000051</v>
      </c>
      <c r="L12" s="263"/>
      <c r="M12" s="269">
        <f t="shared" si="1"/>
        <v>-8.2325040407236205E-3</v>
      </c>
      <c r="N12" s="269">
        <f t="shared" si="2"/>
        <v>-0.74073961252589182</v>
      </c>
      <c r="O12" s="269">
        <f t="shared" si="3"/>
        <v>0</v>
      </c>
      <c r="P12" s="269">
        <f t="shared" si="4"/>
        <v>0</v>
      </c>
      <c r="Q12" s="269">
        <f t="shared" si="5"/>
        <v>0</v>
      </c>
      <c r="R12" s="269">
        <f t="shared" si="6"/>
        <v>0</v>
      </c>
      <c r="S12" s="269">
        <f t="shared" si="7"/>
        <v>0</v>
      </c>
      <c r="T12" s="269">
        <f t="shared" si="8"/>
        <v>0</v>
      </c>
      <c r="U12" s="269">
        <f t="shared" si="9"/>
        <v>0</v>
      </c>
    </row>
    <row r="13" spans="1:21">
      <c r="A13" s="264" t="str">
        <f>+'Data Worksheet'!A17</f>
        <v>Intergovernmental</v>
      </c>
      <c r="B13" s="267">
        <f>Dashboard!C75*1000000</f>
        <v>530711</v>
      </c>
      <c r="C13" s="267">
        <f>Dashboard!D75*1000000</f>
        <v>492437</v>
      </c>
      <c r="D13" s="267">
        <f>Dashboard!E75*1000000</f>
        <v>510414.00000000006</v>
      </c>
      <c r="E13" s="307">
        <f>IF(OR(Bud_Calc=1,Dashboard!F75=""),D13*(1+Intergovt_growth2),Dashboard!F75*1000000)</f>
        <v>510414.00000000006</v>
      </c>
      <c r="F13" s="263">
        <f t="shared" ref="F13:K13" si="23">E13*(1+Intergovt_growth2)</f>
        <v>510414.00000000006</v>
      </c>
      <c r="G13" s="263">
        <f t="shared" si="23"/>
        <v>510414.00000000006</v>
      </c>
      <c r="H13" s="263">
        <f t="shared" si="23"/>
        <v>510414.00000000006</v>
      </c>
      <c r="I13" s="263">
        <f t="shared" si="23"/>
        <v>510414.00000000006</v>
      </c>
      <c r="J13" s="263">
        <f t="shared" si="23"/>
        <v>510414.00000000006</v>
      </c>
      <c r="K13" s="263">
        <f t="shared" si="23"/>
        <v>510414.00000000006</v>
      </c>
      <c r="L13" s="263"/>
      <c r="M13" s="269">
        <f t="shared" si="1"/>
        <v>-7.2118346896898666E-2</v>
      </c>
      <c r="N13" s="269">
        <f t="shared" si="2"/>
        <v>3.6506192670331616E-2</v>
      </c>
      <c r="O13" s="269">
        <f t="shared" si="3"/>
        <v>0</v>
      </c>
      <c r="P13" s="269">
        <f t="shared" si="4"/>
        <v>0</v>
      </c>
      <c r="Q13" s="269">
        <f t="shared" si="5"/>
        <v>0</v>
      </c>
      <c r="R13" s="269">
        <f t="shared" si="6"/>
        <v>0</v>
      </c>
      <c r="S13" s="269">
        <f t="shared" si="7"/>
        <v>0</v>
      </c>
      <c r="T13" s="269">
        <f t="shared" si="8"/>
        <v>0</v>
      </c>
      <c r="U13" s="269">
        <f t="shared" si="9"/>
        <v>0</v>
      </c>
    </row>
    <row r="14" spans="1:21">
      <c r="A14" s="264" t="str">
        <f>+'Data Worksheet'!A18</f>
        <v>Other Revenue</v>
      </c>
      <c r="B14" s="267">
        <f>Dashboard!C76*1000000</f>
        <v>30911</v>
      </c>
      <c r="C14" s="267">
        <f>Dashboard!D76*1000000</f>
        <v>9980</v>
      </c>
      <c r="D14" s="267">
        <f>Dashboard!E76*1000000</f>
        <v>10212</v>
      </c>
      <c r="E14" s="307">
        <f>IF(OR(Bud_Calc=1,Dashboard!F76=""),D14*(1+Fines_growth2),Dashboard!F76*1000000)</f>
        <v>10212</v>
      </c>
      <c r="F14" s="263">
        <f t="shared" ref="F14:K14" si="24">E14*(1+Fines_growth2)</f>
        <v>10212</v>
      </c>
      <c r="G14" s="263">
        <f t="shared" si="24"/>
        <v>10212</v>
      </c>
      <c r="H14" s="263">
        <f t="shared" si="24"/>
        <v>10212</v>
      </c>
      <c r="I14" s="263">
        <f t="shared" si="24"/>
        <v>10212</v>
      </c>
      <c r="J14" s="263">
        <f t="shared" si="24"/>
        <v>10212</v>
      </c>
      <c r="K14" s="263">
        <f t="shared" si="24"/>
        <v>10212</v>
      </c>
      <c r="L14" s="263"/>
      <c r="M14" s="269">
        <f t="shared" si="1"/>
        <v>-0.67713758856070649</v>
      </c>
      <c r="N14" s="269">
        <f t="shared" si="2"/>
        <v>2.3246492985971923E-2</v>
      </c>
      <c r="O14" s="269">
        <f t="shared" si="3"/>
        <v>0</v>
      </c>
      <c r="P14" s="269">
        <f t="shared" si="4"/>
        <v>0</v>
      </c>
      <c r="Q14" s="269">
        <f t="shared" si="5"/>
        <v>0</v>
      </c>
      <c r="R14" s="269">
        <f t="shared" si="6"/>
        <v>0</v>
      </c>
      <c r="S14" s="269">
        <f t="shared" si="7"/>
        <v>0</v>
      </c>
      <c r="T14" s="269">
        <f t="shared" si="8"/>
        <v>0</v>
      </c>
      <c r="U14" s="269">
        <f t="shared" si="9"/>
        <v>0</v>
      </c>
    </row>
    <row r="15" spans="1:21">
      <c r="A15" s="264" t="str">
        <f>+'Data Worksheet'!A19</f>
        <v>Charges for Services (Other)</v>
      </c>
      <c r="B15" s="267">
        <f>Dashboard!C77*1000000</f>
        <v>13190.0000000001</v>
      </c>
      <c r="C15" s="267">
        <f>Dashboard!D77*1000000</f>
        <v>9755.9999999999945</v>
      </c>
      <c r="D15" s="267">
        <f>Dashboard!E77*1000000</f>
        <v>14849.000000000064</v>
      </c>
      <c r="E15" s="307">
        <f>IF(OR(Bud_Calc=1,Dashboard!F77=""),D15*(1+LicensePermit_growth2),Dashboard!F77*1000000)</f>
        <v>14849.000000000064</v>
      </c>
      <c r="F15" s="263">
        <f t="shared" ref="F15:K15" si="25">E15*(1+LicensePermit_growth2)</f>
        <v>14849.000000000064</v>
      </c>
      <c r="G15" s="263">
        <f t="shared" si="25"/>
        <v>14849.000000000064</v>
      </c>
      <c r="H15" s="263">
        <f t="shared" si="25"/>
        <v>14849.000000000064</v>
      </c>
      <c r="I15" s="263">
        <f t="shared" si="25"/>
        <v>14849.000000000064</v>
      </c>
      <c r="J15" s="263">
        <f t="shared" si="25"/>
        <v>14849.000000000064</v>
      </c>
      <c r="K15" s="263">
        <f t="shared" si="25"/>
        <v>14849.000000000064</v>
      </c>
      <c r="L15" s="263"/>
      <c r="M15" s="269">
        <f t="shared" si="1"/>
        <v>-0.26034874905231842</v>
      </c>
      <c r="N15" s="269">
        <f t="shared" si="2"/>
        <v>0.52203772037721108</v>
      </c>
      <c r="O15" s="269">
        <f t="shared" si="3"/>
        <v>0</v>
      </c>
      <c r="P15" s="269">
        <f t="shared" si="4"/>
        <v>0</v>
      </c>
      <c r="Q15" s="269">
        <f t="shared" si="5"/>
        <v>0</v>
      </c>
      <c r="R15" s="269">
        <f t="shared" si="6"/>
        <v>0</v>
      </c>
      <c r="S15" s="269">
        <f t="shared" si="7"/>
        <v>0</v>
      </c>
      <c r="T15" s="269">
        <f t="shared" si="8"/>
        <v>0</v>
      </c>
      <c r="U15" s="269">
        <f t="shared" si="9"/>
        <v>0</v>
      </c>
    </row>
    <row r="16" spans="1:21">
      <c r="A16" s="264" t="str">
        <f>+'Data Worksheet'!A20</f>
        <v>Comm Develop/Planning Fees</v>
      </c>
      <c r="B16" s="267">
        <f>Dashboard!C78*1000000</f>
        <v>1252492</v>
      </c>
      <c r="C16" s="267">
        <f>Dashboard!D78*1000000</f>
        <v>1000626</v>
      </c>
      <c r="D16" s="267">
        <f>Dashboard!E78*1000000</f>
        <v>900878</v>
      </c>
      <c r="E16" s="307">
        <f>IF(OR(Bud_Calc=1,Dashboard!F78=""),D16*(1+CommDevFees_growth2),Dashboard!F78*1000000)</f>
        <v>900878</v>
      </c>
      <c r="F16" s="263">
        <f t="shared" ref="F16:K16" si="26">E16*(1+CommDevFees_growth2)</f>
        <v>900878</v>
      </c>
      <c r="G16" s="263">
        <f t="shared" si="26"/>
        <v>900878</v>
      </c>
      <c r="H16" s="263">
        <f t="shared" si="26"/>
        <v>900878</v>
      </c>
      <c r="I16" s="263">
        <f t="shared" si="26"/>
        <v>900878</v>
      </c>
      <c r="J16" s="263">
        <f t="shared" si="26"/>
        <v>900878</v>
      </c>
      <c r="K16" s="263">
        <f t="shared" si="26"/>
        <v>900878</v>
      </c>
      <c r="L16" s="263"/>
      <c r="M16" s="269">
        <f t="shared" si="1"/>
        <v>-0.20109190318181669</v>
      </c>
      <c r="N16" s="269">
        <f t="shared" si="2"/>
        <v>-9.9685596816392885E-2</v>
      </c>
      <c r="O16" s="269">
        <f t="shared" si="3"/>
        <v>0</v>
      </c>
      <c r="P16" s="269">
        <f t="shared" si="4"/>
        <v>0</v>
      </c>
      <c r="Q16" s="269">
        <f t="shared" si="5"/>
        <v>0</v>
      </c>
      <c r="R16" s="269">
        <f t="shared" si="6"/>
        <v>0</v>
      </c>
      <c r="S16" s="269">
        <f t="shared" si="7"/>
        <v>0</v>
      </c>
      <c r="T16" s="269">
        <f t="shared" si="8"/>
        <v>0</v>
      </c>
      <c r="U16" s="269">
        <f t="shared" si="9"/>
        <v>0</v>
      </c>
    </row>
    <row r="17" spans="1:21">
      <c r="A17" s="264" t="str">
        <f>+'Data Worksheet'!A21</f>
        <v>Park &amp; Recreation Fees</v>
      </c>
      <c r="B17" s="267">
        <f>Dashboard!C79*1000000</f>
        <v>0</v>
      </c>
      <c r="C17" s="267">
        <f>Dashboard!D79*1000000</f>
        <v>0</v>
      </c>
      <c r="D17" s="267">
        <f>Dashboard!E79*1000000</f>
        <v>0</v>
      </c>
      <c r="E17" s="307">
        <f>IF(OR(Bud_Calc=1,Dashboard!F79=""),D17*(1+ParkRecFees_growth2),Dashboard!F79*1000000)</f>
        <v>0</v>
      </c>
      <c r="F17" s="263">
        <f t="shared" ref="F17:K17" si="27">E17*(1+ParkRecFees_growth2)</f>
        <v>0</v>
      </c>
      <c r="G17" s="263">
        <f t="shared" si="27"/>
        <v>0</v>
      </c>
      <c r="H17" s="263">
        <f t="shared" si="27"/>
        <v>0</v>
      </c>
      <c r="I17" s="263">
        <f t="shared" si="27"/>
        <v>0</v>
      </c>
      <c r="J17" s="263">
        <f t="shared" si="27"/>
        <v>0</v>
      </c>
      <c r="K17" s="263">
        <f t="shared" si="27"/>
        <v>0</v>
      </c>
      <c r="L17" s="263"/>
      <c r="M17" s="269">
        <f t="shared" si="1"/>
        <v>0</v>
      </c>
      <c r="N17" s="269">
        <f t="shared" si="2"/>
        <v>0</v>
      </c>
      <c r="O17" s="269">
        <f t="shared" si="3"/>
        <v>0</v>
      </c>
      <c r="P17" s="269">
        <f t="shared" si="4"/>
        <v>0</v>
      </c>
      <c r="Q17" s="269">
        <f t="shared" si="5"/>
        <v>0</v>
      </c>
      <c r="R17" s="269">
        <f t="shared" si="6"/>
        <v>0</v>
      </c>
      <c r="S17" s="269">
        <f t="shared" si="7"/>
        <v>0</v>
      </c>
      <c r="T17" s="269">
        <f t="shared" si="8"/>
        <v>0</v>
      </c>
      <c r="U17" s="269">
        <f t="shared" si="9"/>
        <v>0</v>
      </c>
    </row>
    <row r="18" spans="1:21">
      <c r="A18" s="264" t="str">
        <f>+'Data Worksheet'!A22</f>
        <v>Fines and forfeitures</v>
      </c>
      <c r="B18" s="267">
        <f>Dashboard!C80*1000000</f>
        <v>1555</v>
      </c>
      <c r="C18" s="267">
        <f>Dashboard!D80*1000000</f>
        <v>127</v>
      </c>
      <c r="D18" s="267">
        <f>Dashboard!E80*1000000</f>
        <v>0</v>
      </c>
      <c r="E18" s="307">
        <f>IF(OR(Bud_Calc=1,Dashboard!F80=""),D18*(1+OtherFee_growth2),Dashboard!F80*1000000)</f>
        <v>0</v>
      </c>
      <c r="F18" s="263">
        <f t="shared" ref="F18:K18" si="28">E18*(1+OtherFee_growth2)</f>
        <v>0</v>
      </c>
      <c r="G18" s="263">
        <f t="shared" si="28"/>
        <v>0</v>
      </c>
      <c r="H18" s="263">
        <f t="shared" si="28"/>
        <v>0</v>
      </c>
      <c r="I18" s="263">
        <f t="shared" si="28"/>
        <v>0</v>
      </c>
      <c r="J18" s="263">
        <f t="shared" si="28"/>
        <v>0</v>
      </c>
      <c r="K18" s="263">
        <f t="shared" si="28"/>
        <v>0</v>
      </c>
      <c r="L18" s="263"/>
      <c r="M18" s="269">
        <f t="shared" si="1"/>
        <v>-0.91832797427652735</v>
      </c>
      <c r="N18" s="269">
        <f t="shared" si="2"/>
        <v>-1</v>
      </c>
      <c r="O18" s="269">
        <f t="shared" si="3"/>
        <v>0</v>
      </c>
      <c r="P18" s="269">
        <f t="shared" si="4"/>
        <v>0</v>
      </c>
      <c r="Q18" s="269">
        <f t="shared" si="5"/>
        <v>0</v>
      </c>
      <c r="R18" s="269">
        <f t="shared" si="6"/>
        <v>0</v>
      </c>
      <c r="S18" s="269">
        <f t="shared" si="7"/>
        <v>0</v>
      </c>
      <c r="T18" s="269">
        <f t="shared" si="8"/>
        <v>0</v>
      </c>
      <c r="U18" s="269">
        <f t="shared" si="9"/>
        <v>0</v>
      </c>
    </row>
    <row r="19" spans="1:21">
      <c r="A19" s="264" t="str">
        <f>+'Data Worksheet'!A23</f>
        <v>Interest Earnings</v>
      </c>
      <c r="B19" s="267">
        <f>Dashboard!C81*1000000</f>
        <v>78332.000000000015</v>
      </c>
      <c r="C19" s="267">
        <f>Dashboard!D81*1000000</f>
        <v>87100</v>
      </c>
      <c r="D19" s="267">
        <f>Dashboard!E81*1000000</f>
        <v>47900</v>
      </c>
      <c r="E19" s="271">
        <f>IF(E54*0.02&lt;0,0,E54*0.02)</f>
        <v>95268.923771999995</v>
      </c>
      <c r="F19" s="271">
        <f t="shared" ref="F19:K19" si="29">IF(F54*0.02&lt;0,0,F54*0.02)</f>
        <v>105733.08594575997</v>
      </c>
      <c r="G19" s="271">
        <f t="shared" si="29"/>
        <v>109139.58145141439</v>
      </c>
      <c r="H19" s="271">
        <f t="shared" si="29"/>
        <v>101285.77687072579</v>
      </c>
      <c r="I19" s="271">
        <f t="shared" si="29"/>
        <v>87993.863957627123</v>
      </c>
      <c r="J19" s="271">
        <f t="shared" si="29"/>
        <v>67809.599504204802</v>
      </c>
      <c r="K19" s="271">
        <f t="shared" si="29"/>
        <v>40256.261916922442</v>
      </c>
      <c r="L19" s="263"/>
      <c r="M19" s="269">
        <f t="shared" si="1"/>
        <v>0.11193382015013009</v>
      </c>
      <c r="N19" s="269">
        <f t="shared" si="2"/>
        <v>-0.4500574052812859</v>
      </c>
      <c r="O19" s="269">
        <f t="shared" si="3"/>
        <v>0.98891281361169092</v>
      </c>
      <c r="P19" s="269">
        <f t="shared" si="4"/>
        <v>0.1098381482591646</v>
      </c>
      <c r="Q19" s="269">
        <f t="shared" si="5"/>
        <v>3.2217876506526189E-2</v>
      </c>
      <c r="R19" s="269">
        <f t="shared" si="6"/>
        <v>-7.1961102253125908E-2</v>
      </c>
      <c r="S19" s="269">
        <f t="shared" si="7"/>
        <v>-0.13123178124075163</v>
      </c>
      <c r="T19" s="269">
        <f t="shared" si="8"/>
        <v>-0.22938263585222174</v>
      </c>
      <c r="U19" s="269">
        <f t="shared" si="9"/>
        <v>-0.40633387881274552</v>
      </c>
    </row>
    <row r="20" spans="1:21">
      <c r="A20" s="264" t="str">
        <f>+'Data Worksheet'!A24</f>
        <v>Rental income</v>
      </c>
      <c r="B20" s="267">
        <f>Dashboard!C82*1000000</f>
        <v>125</v>
      </c>
      <c r="C20" s="267">
        <f>Dashboard!D82*1000000</f>
        <v>36884</v>
      </c>
      <c r="D20" s="267">
        <f>Dashboard!E82*1000000</f>
        <v>88700</v>
      </c>
      <c r="E20" s="307">
        <f>IF(OR(Bud_Calc=1,Dashboard!F82=""),D20*(1+Interfund_growth),Dashboard!F82*1000000)</f>
        <v>88700</v>
      </c>
      <c r="F20" s="263">
        <f t="shared" ref="F20:K20" si="30">E20*(1+Interfund_growth)</f>
        <v>88700</v>
      </c>
      <c r="G20" s="263">
        <f t="shared" si="30"/>
        <v>88700</v>
      </c>
      <c r="H20" s="263">
        <f t="shared" si="30"/>
        <v>88700</v>
      </c>
      <c r="I20" s="263">
        <f t="shared" si="30"/>
        <v>88700</v>
      </c>
      <c r="J20" s="263">
        <f t="shared" si="30"/>
        <v>88700</v>
      </c>
      <c r="K20" s="263">
        <f t="shared" si="30"/>
        <v>88700</v>
      </c>
      <c r="L20" s="263"/>
      <c r="M20" s="269">
        <f t="shared" si="1"/>
        <v>294.072</v>
      </c>
      <c r="N20" s="269">
        <f t="shared" si="2"/>
        <v>1.4048367855980914</v>
      </c>
      <c r="O20" s="269">
        <f t="shared" si="3"/>
        <v>0</v>
      </c>
      <c r="P20" s="269">
        <f t="shared" si="4"/>
        <v>0</v>
      </c>
      <c r="Q20" s="269">
        <f t="shared" ref="Q20" si="31">IFERROR(G20/F20-1,0)</f>
        <v>0</v>
      </c>
      <c r="R20" s="269">
        <f t="shared" ref="R20" si="32">IFERROR(H20/G20-1,0)</f>
        <v>0</v>
      </c>
      <c r="S20" s="269">
        <f t="shared" ref="S20" si="33">IFERROR(I20/H20-1,0)</f>
        <v>0</v>
      </c>
      <c r="T20" s="269">
        <f t="shared" ref="T20" si="34">IFERROR(J20/I20-1,0)</f>
        <v>0</v>
      </c>
      <c r="U20" s="269">
        <f t="shared" ref="U20" si="35">IFERROR(K20/J20-1,0)</f>
        <v>0</v>
      </c>
    </row>
    <row r="21" spans="1:21">
      <c r="A21" s="264" t="str">
        <f>+'Data Worksheet'!A25</f>
        <v>Other financing sources</v>
      </c>
      <c r="B21" s="267">
        <f>Dashboard!C83*1000000</f>
        <v>0</v>
      </c>
      <c r="C21" s="267">
        <f>Dashboard!D83*1000000</f>
        <v>0</v>
      </c>
      <c r="D21" s="267">
        <f>Dashboard!E83*1000000</f>
        <v>0</v>
      </c>
      <c r="E21" s="307">
        <f>IF(OR(Bud_Calc=1,Dashboard!F83=""),D21*(1+OtherRevenue_growth2),Dashboard!F83*1000000)</f>
        <v>0</v>
      </c>
      <c r="F21" s="263">
        <f t="shared" ref="F21:K21" si="36">E21*(1+OtherRevenue_growth2)</f>
        <v>0</v>
      </c>
      <c r="G21" s="263">
        <f t="shared" si="36"/>
        <v>0</v>
      </c>
      <c r="H21" s="263">
        <f t="shared" si="36"/>
        <v>0</v>
      </c>
      <c r="I21" s="263">
        <f t="shared" si="36"/>
        <v>0</v>
      </c>
      <c r="J21" s="263">
        <f t="shared" si="36"/>
        <v>0</v>
      </c>
      <c r="K21" s="263">
        <f t="shared" si="36"/>
        <v>0</v>
      </c>
      <c r="L21" s="263"/>
      <c r="M21" s="269">
        <f t="shared" ref="M21:P22" si="37">IFERROR(C21/B21-1,0)</f>
        <v>0</v>
      </c>
      <c r="N21" s="269">
        <f t="shared" si="37"/>
        <v>0</v>
      </c>
      <c r="O21" s="269">
        <f t="shared" si="37"/>
        <v>0</v>
      </c>
      <c r="P21" s="269">
        <f t="shared" si="37"/>
        <v>0</v>
      </c>
      <c r="Q21" s="269">
        <f t="shared" si="5"/>
        <v>0</v>
      </c>
      <c r="R21" s="269">
        <f t="shared" si="6"/>
        <v>0</v>
      </c>
      <c r="S21" s="269">
        <f t="shared" si="7"/>
        <v>0</v>
      </c>
      <c r="T21" s="269">
        <f t="shared" si="8"/>
        <v>0</v>
      </c>
      <c r="U21" s="269">
        <f t="shared" si="9"/>
        <v>0</v>
      </c>
    </row>
    <row r="22" spans="1:21">
      <c r="A22" s="264" t="str">
        <f>+'Data Worksheet'!A26</f>
        <v>Transfers In</v>
      </c>
      <c r="B22" s="267">
        <f>Dashboard!C84*1000000</f>
        <v>1196432</v>
      </c>
      <c r="C22" s="267">
        <f>Dashboard!D84*1000000</f>
        <v>672565</v>
      </c>
      <c r="D22" s="267">
        <f>Dashboard!E84*1000000</f>
        <v>137000</v>
      </c>
      <c r="E22" s="307">
        <f>IF(OR(Bud_Calc=1,Dashboard!F84=""),D22*(1+Transfer_In_growth2),Dashboard!F84*1000000)</f>
        <v>137000</v>
      </c>
      <c r="F22" s="263">
        <f t="shared" ref="F22:K22" si="38">E22*(1+Transfer_In_growth2)</f>
        <v>137000</v>
      </c>
      <c r="G22" s="263">
        <f t="shared" si="38"/>
        <v>137000</v>
      </c>
      <c r="H22" s="263">
        <f t="shared" si="38"/>
        <v>137000</v>
      </c>
      <c r="I22" s="263">
        <f t="shared" si="38"/>
        <v>137000</v>
      </c>
      <c r="J22" s="263">
        <f t="shared" si="38"/>
        <v>137000</v>
      </c>
      <c r="K22" s="263">
        <f t="shared" si="38"/>
        <v>137000</v>
      </c>
      <c r="L22" s="263"/>
      <c r="M22" s="269">
        <f t="shared" si="37"/>
        <v>-0.4378577303181459</v>
      </c>
      <c r="N22" s="269">
        <f t="shared" si="37"/>
        <v>-0.7963022161426776</v>
      </c>
      <c r="O22" s="269">
        <f t="shared" si="37"/>
        <v>0</v>
      </c>
      <c r="P22" s="269">
        <f t="shared" si="37"/>
        <v>0</v>
      </c>
      <c r="Q22" s="269">
        <f t="shared" si="5"/>
        <v>0</v>
      </c>
      <c r="R22" s="269">
        <f t="shared" si="6"/>
        <v>0</v>
      </c>
      <c r="S22" s="269">
        <f t="shared" si="7"/>
        <v>0</v>
      </c>
      <c r="T22" s="269">
        <f t="shared" si="8"/>
        <v>0</v>
      </c>
      <c r="U22" s="269">
        <f t="shared" si="9"/>
        <v>0</v>
      </c>
    </row>
    <row r="23" spans="1:21" ht="15" thickBot="1">
      <c r="A23" s="264" t="s">
        <v>44</v>
      </c>
      <c r="B23" s="272">
        <f t="shared" ref="B23:K23" si="39">SUM(B3:B22)</f>
        <v>13470890</v>
      </c>
      <c r="C23" s="272">
        <f t="shared" si="39"/>
        <v>13111017</v>
      </c>
      <c r="D23" s="272">
        <f t="shared" si="39"/>
        <v>13649737</v>
      </c>
      <c r="E23" s="272">
        <f t="shared" si="39"/>
        <v>13628245.643771999</v>
      </c>
      <c r="F23" s="272">
        <f t="shared" si="39"/>
        <v>13854364.95054576</v>
      </c>
      <c r="G23" s="272">
        <f t="shared" si="39"/>
        <v>14078605.873649413</v>
      </c>
      <c r="H23" s="272">
        <f t="shared" si="39"/>
        <v>14296889.263472863</v>
      </c>
      <c r="I23" s="272">
        <f t="shared" si="39"/>
        <v>14515164.200284766</v>
      </c>
      <c r="J23" s="272">
        <f t="shared" si="39"/>
        <v>14732106.826705141</v>
      </c>
      <c r="K23" s="272">
        <f t="shared" si="39"/>
        <v>14947374.399594603</v>
      </c>
      <c r="L23" s="263"/>
      <c r="M23" s="273">
        <f t="shared" si="1"/>
        <v>-2.6714864422469509E-2</v>
      </c>
      <c r="N23" s="273">
        <f t="shared" si="2"/>
        <v>4.1089108495550031E-2</v>
      </c>
      <c r="O23" s="273">
        <f t="shared" si="3"/>
        <v>-1.5744886680235659E-3</v>
      </c>
      <c r="P23" s="273">
        <f t="shared" si="4"/>
        <v>1.6591960013363494E-2</v>
      </c>
      <c r="Q23" s="273">
        <f t="shared" si="5"/>
        <v>1.6185579339370593E-2</v>
      </c>
      <c r="R23" s="273">
        <f t="shared" si="6"/>
        <v>1.5504616847894503E-2</v>
      </c>
      <c r="S23" s="273">
        <f t="shared" si="7"/>
        <v>1.5267302753024348E-2</v>
      </c>
      <c r="T23" s="273">
        <f t="shared" si="8"/>
        <v>1.4945929885940901E-2</v>
      </c>
      <c r="U23" s="273">
        <f t="shared" si="9"/>
        <v>1.4612137654286039E-2</v>
      </c>
    </row>
    <row r="24" spans="1:21" ht="15" thickTop="1">
      <c r="A24" s="264" t="s">
        <v>24</v>
      </c>
      <c r="B24" s="274"/>
      <c r="C24" s="274">
        <f t="shared" ref="C24:K24" si="40">C23/B23-1</f>
        <v>-2.6714864422469509E-2</v>
      </c>
      <c r="D24" s="274">
        <f t="shared" si="40"/>
        <v>4.1089108495550031E-2</v>
      </c>
      <c r="E24" s="274">
        <f t="shared" si="40"/>
        <v>-1.5744886680235659E-3</v>
      </c>
      <c r="F24" s="274">
        <f t="shared" si="40"/>
        <v>1.6591960013363494E-2</v>
      </c>
      <c r="G24" s="274">
        <f t="shared" si="40"/>
        <v>1.6185579339370593E-2</v>
      </c>
      <c r="H24" s="274">
        <f t="shared" si="40"/>
        <v>1.5504616847894503E-2</v>
      </c>
      <c r="I24" s="274">
        <f t="shared" si="40"/>
        <v>1.5267302753024348E-2</v>
      </c>
      <c r="J24" s="274">
        <f t="shared" si="40"/>
        <v>1.4945929885940901E-2</v>
      </c>
      <c r="K24" s="274">
        <f t="shared" si="40"/>
        <v>1.4612137654286039E-2</v>
      </c>
      <c r="L24" s="263"/>
      <c r="M24" s="275"/>
      <c r="N24" s="275"/>
      <c r="O24" s="275"/>
      <c r="P24" s="275"/>
      <c r="Q24" s="275"/>
      <c r="R24" s="275"/>
      <c r="S24" s="275"/>
      <c r="T24" s="275"/>
      <c r="U24" s="275"/>
    </row>
    <row r="25" spans="1:21">
      <c r="A25" s="264"/>
      <c r="B25" s="553"/>
      <c r="C25" s="553"/>
      <c r="D25" s="553"/>
      <c r="E25" s="276">
        <f>IF(AND(Budget_Increase_Amount&lt;&gt;0,Dashboard!F$215=Budget_Increase_FY),E$48*(D26/D$33),0)</f>
        <v>0</v>
      </c>
      <c r="F25" s="274"/>
      <c r="G25" s="274"/>
      <c r="H25" s="274"/>
      <c r="I25" s="274"/>
      <c r="J25" s="274"/>
      <c r="K25" s="274"/>
      <c r="L25" s="263"/>
      <c r="M25" s="275"/>
      <c r="N25" s="275"/>
      <c r="O25" s="275"/>
      <c r="P25" s="275"/>
      <c r="Q25" s="275"/>
      <c r="R25" s="275"/>
      <c r="S25" s="275"/>
      <c r="T25" s="275"/>
      <c r="U25" s="275"/>
    </row>
    <row r="26" spans="1:21">
      <c r="A26" s="277" t="str">
        <f>Dashboard!A98</f>
        <v>Administration/Support</v>
      </c>
      <c r="B26" s="267">
        <f>Dashboard!C98*1000000</f>
        <v>3291243.7000000007</v>
      </c>
      <c r="C26" s="267">
        <f>Dashboard!D98*1000000</f>
        <v>3364169.0300000007</v>
      </c>
      <c r="D26" s="278">
        <f>IFERROR(Dashboard!E98*1000000+IF(AND(Dashboard!E$215=Budget_Reduction_FY,Budget_Cut_Amount*Cut_No_Recession&lt;&gt;0),(D$47-(D$47*((C$27+C$28)/C$33)*Cut_Weight_Safety))*(C26/(SUM(C$26,C$29:C$32))),0)+
IF(AND(Budget_Increase_Amount&lt;&gt;0,Dashboard!E$215=Budget_Increase_FY),D$48*(C26/C$33),0)*(C26/C$33*(D$50-IF(Dashboard!E$215&gt;Budget_Reduction_FY,0,D$47)-IF(Dashboard!E$215&gt;Budget_Increase_FY,0,D$48)))+
IF(AND(Dashboard!E$215=Budget_Reduction_FY,Budget_Cut_Amount*Cut_No_Recession&lt;&gt;0),(D$47-(D$47*((C$27+C$28)/C$33)*Cut_Weight_Safety))*(C26/(SUM(C$26,C$29:C$32))),0)+
IF(AND(Budget_Increase_Amount&lt;&gt;0,Dashboard!E$215=Budget_Increase_FY),D$48*(C26/C$33),0),0)</f>
        <v>3527036.48</v>
      </c>
      <c r="E26" s="279">
        <f>IFERROR(IF(Bud_Calc=1,Dashboard!G98*1000000,Dashboard!F98*1000000)+IF(AND(Dashboard!F$215=Budget_Reduction_FY,Budget_Cut_Amount*Cut_No_Recession&lt;&gt;0),(E$47-(E$47*((D$27+D$28)/D$33)*Cut_Weight_Safety))*(D26/(SUM(D$26,D$29:D$32))),0)+E$48*(D26/D$33),0)</f>
        <v>2343338.7605756768</v>
      </c>
      <c r="F26" s="278">
        <f>IFERROR((E26/E$33*(F$50-IF(Dashboard!G$215&gt;Budget_Reduction_FY,0,F$47)-IF(Dashboard!G$215&gt;Budget_Increase_FY,0,F$48)))+
IF(AND(Dashboard!G$215=Budget_Reduction_FY,Budget_Cut_Amount*Cut_No_Recession&lt;&gt;0),(F$47-(F$47*((E$27+E$28)/E$33)*Cut_Weight_Safety))*(E26/(SUM(E$26,E$29:E$32))),0)+
IF(AND(Budget_Increase_Amount&lt;&gt;0,Dashboard!G$215=Budget_Increase_FY),F$48*(E26/E$33),0),0)</f>
        <v>3835374.690991119</v>
      </c>
      <c r="G26" s="278">
        <f>IFERROR((F26/F$33*(G$50-IF(Dashboard!H$215&gt;Budget_Reduction_FY,0,G$47)-IF(Dashboard!H$215&gt;Budget_Increase_FY,0,G$48)))+
IF(AND(Dashboard!H$215=Budget_Reduction_FY,Budget_Cut_Amount*Cut_No_Recession&lt;&gt;0),(G$47-(G$47*((F$27+F$28)/F$33)*Cut_Weight_Safety))*(F26/(SUM(F$26,F$29:F$32))),0)+
IF(AND(Budget_Increase_Amount&lt;&gt;0,Dashboard!H$215=Budget_Increase_FY),G$48*(F26/F$33),0),0)</f>
        <v>4051293.797452474</v>
      </c>
      <c r="H26" s="278">
        <f>IFERROR((G26/G$33*(H$50-IF(Dashboard!I$215&gt;Budget_Reduction_FY,0,H$47)-IF(Dashboard!I$215&gt;Budget_Increase_FY,0,H$48)))+
IF(AND(Dashboard!I$215=Budget_Reduction_FY,Budget_Cut_Amount*Cut_No_Recession&lt;&gt;0),(H$47-(H$47*((G$27+G$28)/G$33)*Cut_Weight_Safety))*(G26/(SUM(G$26,G$29:G$32))),0)+
IF(AND(Budget_Increase_Amount&lt;&gt;0,Dashboard!I$215=Budget_Increase_FY),H$48*(G26/G$33),0),0)</f>
        <v>4185736.8996231901</v>
      </c>
      <c r="I26" s="278">
        <f>IFERROR((H26/H$33*(I$50-IF(Dashboard!J$215&gt;Budget_Reduction_FY,0,I$47)-IF(Dashboard!J$215&gt;Budget_Increase_FY,0,I$48)))+
IF(AND(Dashboard!J$215=Budget_Reduction_FY,Budget_Cut_Amount*Cut_No_Recession&lt;&gt;0),(I$47-(I$47*((H$27+H$28)/H$33)*Cut_Weight_Safety))*(H26/(SUM(H$26,H$29:H$32))),0)+
IF(AND(Budget_Increase_Amount&lt;&gt;0,Dashboard!J$215=Budget_Increase_FY),I$48*(H26/H$33),0),0)</f>
        <v>4257839.9028576119</v>
      </c>
      <c r="J26" s="278">
        <f>IFERROR((I26/I$33*(J$50-IF(Dashboard!K$215&gt;Budget_Reduction_FY,0,J$47)-IF(Dashboard!K$215&gt;Budget_Increase_FY,0,J$48)))+
IF(AND(Dashboard!K$215=Budget_Reduction_FY,Budget_Cut_Amount*Cut_No_Recession&lt;&gt;0),(J$47-(J$47*((I$27+I$28)/I$33)*Cut_Weight_Safety))*(I26/(SUM(I$26,I$29:I$32))),0)+
IF(AND(Budget_Increase_Amount&lt;&gt;0,Dashboard!K$215=Budget_Increase_FY),J$48*(I26/I$33),0),0)</f>
        <v>4418395.3689685408</v>
      </c>
      <c r="K26" s="278">
        <f>IFERROR((J26/J$33*(K$50-IF(Dashboard!L$215&gt;Budget_Reduction_FY,0,K$47)-IF(Dashboard!L$215&gt;Budget_Increase_FY,0,K$48)))+
IF(AND(Dashboard!L$215=Budget_Reduction_FY,Budget_Cut_Amount*Cut_No_Recession&lt;&gt;0),(K$47-(K$47*((J$27+J$28)/J$33)*Cut_Weight_Safety))*(J26/(SUM(J$26,J$29:J$32))),0)+
IF(AND(Budget_Increase_Amount&lt;&gt;0,Dashboard!L$215=Budget_Increase_FY),K$48*(J26/J$33),0),0)</f>
        <v>4585384.2123280605</v>
      </c>
      <c r="L26" s="263"/>
      <c r="M26" s="269">
        <f t="shared" ref="M26:U33" si="41">IFERROR(C26/B26-1,0)</f>
        <v>2.2157377771813147E-2</v>
      </c>
      <c r="N26" s="269">
        <f t="shared" si="41"/>
        <v>4.8412386104154548E-2</v>
      </c>
      <c r="O26" s="269">
        <f t="shared" si="41"/>
        <v>-0.33560688304089303</v>
      </c>
      <c r="P26" s="269">
        <f t="shared" si="41"/>
        <v>0.63671371613761085</v>
      </c>
      <c r="Q26" s="269">
        <f t="shared" si="41"/>
        <v>5.6296743827539464E-2</v>
      </c>
      <c r="R26" s="269">
        <f t="shared" si="41"/>
        <v>3.3185226471419194E-2</v>
      </c>
      <c r="S26" s="269">
        <f t="shared" si="41"/>
        <v>1.7225880403737959E-2</v>
      </c>
      <c r="T26" s="269">
        <f t="shared" si="41"/>
        <v>3.7708197060949411E-2</v>
      </c>
      <c r="U26" s="269">
        <f t="shared" si="41"/>
        <v>3.7794001988215697E-2</v>
      </c>
    </row>
    <row r="27" spans="1:21">
      <c r="A27" s="277" t="str">
        <f>Dashboard!A99</f>
        <v>Police</v>
      </c>
      <c r="B27" s="267">
        <f>Dashboard!C99*1000000</f>
        <v>4284911.79</v>
      </c>
      <c r="C27" s="267">
        <f>Dashboard!D99*1000000</f>
        <v>4282065.25</v>
      </c>
      <c r="D27" s="278">
        <f>IFERROR(Dashboard!E99*1000000+IF(AND(Dashboard!E$215=Budget_Reduction_FY,Budget_Cut_Amount*Cut_No_Recession&lt;&gt;0),(D$47-(D$47*((C$27+C$28)/C$33)*Cut_Weight_Safety))*(C27/(SUM(C$26,C$29:C$32))),0)+
IF(AND(Budget_Increase_Amount&lt;&gt;0,Dashboard!E$215=Budget_Increase_FY),D$48*(C27/C$33),0)*(C27/C$33*(D$50-IF(Dashboard!E$215&gt;Budget_Reduction_FY,0,D$47)-IF(Dashboard!E$215&gt;Budget_Increase_FY,0,D$48)))+
IF(AND(Dashboard!E$215=Budget_Reduction_FY,Budget_Cut_Amount*Cut_No_Recession&lt;&gt;0),(D$47-(D$47*((C$27+C$28)/C$33)*Cut_Weight_Safety))*(C27/(SUM(C$26,C$29:C$32))),0)+
IF(AND(Budget_Increase_Amount&lt;&gt;0,Dashboard!E$215=Budget_Increase_FY),D$48*(C27/C$33),0),0)</f>
        <v>4641416</v>
      </c>
      <c r="E27" s="279">
        <f>IFERROR(IF(Bud_Calc=1,Dashboard!G99*1000000,Dashboard!F99*1000000)+IF(AND(Budget_Cut_Amount*Cut_No_Recession&lt;&gt;0,Dashboard!F$215=Budget_Reduction_FY),((D27/D$33)*E$47*Cut_Weight_Safety),0)+D27/D$33*E$48,0)</f>
        <v>3083724.8433438702</v>
      </c>
      <c r="F27" s="278">
        <f>IFERROR((E27/E$33*(F$50-IF(Dashboard!G$215&gt;Budget_Reduction_FY,0,F$47)-IF(Dashboard!G$215&gt;Budget_Increase_FY,0,F$48)))+
IF(AND(Budget_Cut_Amount*Cut_No_Recession&lt;&gt;0,Dashboard!G$215=Budget_Reduction_FY),((E27/E$33)*F$47*Cut_Weight_Safety),0)+
IF(AND(Budget_Increase_Amount&lt;&gt;0,Dashboard!G$215=Budget_Increase_FY),E27/E$33*F$48,0),0)</f>
        <v>5047174.7478952184</v>
      </c>
      <c r="G27" s="278">
        <f>IFERROR((F27/F$33*(G$50-IF(Dashboard!H$215&gt;Budget_Reduction_FY,0,G$47)-IF(Dashboard!H$215&gt;Budget_Increase_FY,0,G$48)))+
IF(AND(Budget_Cut_Amount*Cut_No_Recession&lt;&gt;0,Dashboard!H$215=Budget_Reduction_FY),((F27/F$33)*G$47*Cut_Weight_Safety),0)+
IF(AND(Budget_Increase_Amount&lt;&gt;0,Dashboard!H$215=Budget_Increase_FY),F27/F$33*G$48,0),0)</f>
        <v>5331314.2517303014</v>
      </c>
      <c r="H27" s="278">
        <f>IFERROR((G27/G$33*(H$50-IF(Dashboard!I$215&gt;Budget_Reduction_FY,0,H$47)-IF(Dashboard!I$215&gt;Budget_Increase_FY,0,H$48)))+
IF(AND(Budget_Cut_Amount*Cut_No_Recession&lt;&gt;0,Dashboard!I$215=Budget_Reduction_FY),((G27/G$33)*H$47*Cut_Weight_Safety),0)+
IF(AND(Budget_Increase_Amount&lt;&gt;0,Dashboard!I$215=Budget_Increase_FY),G27/G$33*H$48,0),0)</f>
        <v>5508235.1225642757</v>
      </c>
      <c r="I27" s="278">
        <f>IFERROR((H27/H$33*(I$50-IF(Dashboard!J$215&gt;Budget_Reduction_FY,0,I$47)-IF(Dashboard!J$215&gt;Budget_Increase_FY,0,I$48)))+
IF(AND(Budget_Cut_Amount*Cut_No_Recession&lt;&gt;0,Dashboard!J$215=Budget_Reduction_FY),((H27/H$33)*I$47*Cut_Weight_Safety),0)+
IF(AND(Budget_Increase_Amount&lt;&gt;0,Dashboard!J$215=Budget_Increase_FY),H27/H$33*I$48,0),0)</f>
        <v>5603119.3220212366</v>
      </c>
      <c r="J27" s="278">
        <f>IFERROR((I27/I$33*(J$50-IF(Dashboard!K$215&gt;Budget_Reduction_FY,0,J$47)-IF(Dashboard!K$215&gt;Budget_Increase_FY,0,J$48)))+
IF(AND(Budget_Cut_Amount*Cut_No_Recession&lt;&gt;0,Dashboard!K$215=Budget_Reduction_FY),((I27/I$33)*J$47*Cut_Weight_Safety),0)+
IF(AND(Budget_Increase_Amount&lt;&gt;0,Dashboard!K$215=Budget_Increase_FY),I27/I$33*J$48,0),0)</f>
        <v>5814402.849572028</v>
      </c>
      <c r="K27" s="278">
        <f>IFERROR((J27/J$33*(K$50-IF(Dashboard!L$215&gt;Budget_Reduction_FY,0,K$47)-IF(Dashboard!L$215&gt;Budget_Increase_FY,0,K$48)))+
IF(AND(Budget_Cut_Amount*Cut_No_Recession&lt;&gt;0,Dashboard!L$215=Budget_Reduction_FY),((J27/J$33)*K$47*Cut_Weight_Safety),0)+
IF(AND(Budget_Increase_Amount&lt;&gt;0,Dashboard!L$215=Budget_Increase_FY),J27/J$33*K$48,0),0)</f>
        <v>6034152.4024290387</v>
      </c>
      <c r="L27" s="263"/>
      <c r="M27" s="269">
        <f t="shared" si="41"/>
        <v>-6.6431705937175511E-4</v>
      </c>
      <c r="N27" s="269">
        <f t="shared" si="41"/>
        <v>8.3919961285036537E-2</v>
      </c>
      <c r="O27" s="269">
        <f t="shared" si="41"/>
        <v>-0.33560688304089303</v>
      </c>
      <c r="P27" s="269">
        <f t="shared" si="41"/>
        <v>0.63671371613761107</v>
      </c>
      <c r="Q27" s="269">
        <f t="shared" si="41"/>
        <v>5.6296743827539464E-2</v>
      </c>
      <c r="R27" s="269">
        <f t="shared" si="41"/>
        <v>3.3185226471419194E-2</v>
      </c>
      <c r="S27" s="269">
        <f t="shared" si="41"/>
        <v>1.7225880403737959E-2</v>
      </c>
      <c r="T27" s="269">
        <f t="shared" si="41"/>
        <v>3.7708197060949633E-2</v>
      </c>
      <c r="U27" s="269">
        <f t="shared" si="41"/>
        <v>3.7794001988215475E-2</v>
      </c>
    </row>
    <row r="28" spans="1:21">
      <c r="A28" s="277" t="str">
        <f>Dashboard!A100</f>
        <v>Fire</v>
      </c>
      <c r="B28" s="267">
        <f>Dashboard!C100*1000000</f>
        <v>0</v>
      </c>
      <c r="C28" s="267">
        <f>Dashboard!D100*1000000</f>
        <v>0</v>
      </c>
      <c r="D28" s="278">
        <f>IFERROR(Dashboard!E100*1000000+IF(AND(Dashboard!E$215=Budget_Reduction_FY,Budget_Cut_Amount*Cut_No_Recession&lt;&gt;0),(D$47-(D$47*((C$27+C$28)/C$33)*Cut_Weight_Safety))*(C28/(SUM(C$26,C$29:C$32))),0)+
IF(AND(Budget_Increase_Amount&lt;&gt;0,Dashboard!E$215=Budget_Increase_FY),D$48*(C28/C$33),0)*(C28/C$33*(D$50-IF(Dashboard!E$215&gt;Budget_Reduction_FY,0,D$47)-IF(Dashboard!E$215&gt;Budget_Increase_FY,0,D$48)))+
IF(AND(Dashboard!E$215=Budget_Reduction_FY,Budget_Cut_Amount*Cut_No_Recession&lt;&gt;0),(D$47-(D$47*((C$27+C$28)/C$33)*Cut_Weight_Safety))*(C28/(SUM(C$26,C$29:C$32))),0)+
IF(AND(Budget_Increase_Amount&lt;&gt;0,Dashboard!E$215=Budget_Increase_FY),D$48*(C28/C$33),0),0)</f>
        <v>0</v>
      </c>
      <c r="E28" s="279">
        <f>IFERROR(IF(Bud_Calc=1,Dashboard!G100*1000000,Dashboard!F100*1000000)+IF(AND(Budget_Cut_Amount*Cut_No_Recession&lt;&gt;0,Dashboard!F$215=Budget_Reduction_FY),((D28/D$33)*E$47*Cut_Weight_Safety),0)+D28/D$33*E$48,0)</f>
        <v>0</v>
      </c>
      <c r="F28" s="278">
        <f>IFERROR((E28/E$33*(F$50-IF(Dashboard!G$215&gt;Budget_Reduction_FY,0,F$47)-IF(Dashboard!G$215&gt;Budget_Increase_FY,0,F$48)))+
IF(AND(Budget_Cut_Amount*Cut_No_Recession&lt;&gt;0,Dashboard!G$215=Budget_Reduction_FY),((E28/E$33)*F$47*Cut_Weight_Safety),0)+
IF(AND(Budget_Increase_Amount&lt;&gt;0,Dashboard!G$215=Budget_Increase_FY),E28/E$33*F$48,0),0)</f>
        <v>0</v>
      </c>
      <c r="G28" s="278">
        <f>IFERROR((F28/F$33*(G$50-IF(Dashboard!H$215&gt;Budget_Reduction_FY,0,G$47)-IF(Dashboard!H$215&gt;Budget_Increase_FY,0,G$48)))+
IF(AND(Budget_Cut_Amount*Cut_No_Recession&lt;&gt;0,Dashboard!H$215=Budget_Reduction_FY),((F28/F$33)*G$47*Cut_Weight_Safety),0)+
IF(AND(Budget_Increase_Amount&lt;&gt;0,Dashboard!H$215=Budget_Increase_FY),F28/F$33*G$48,0),0)</f>
        <v>0</v>
      </c>
      <c r="H28" s="278">
        <f>IFERROR((G28/G$33*(H$50-IF(Dashboard!I$215&gt;Budget_Reduction_FY,0,H$47)-IF(Dashboard!I$215&gt;Budget_Increase_FY,0,H$48)))+
IF(AND(Budget_Cut_Amount*Cut_No_Recession&lt;&gt;0,Dashboard!I$215=Budget_Reduction_FY),((G28/G$33)*H$47*Cut_Weight_Safety),0)+
IF(AND(Budget_Increase_Amount&lt;&gt;0,Dashboard!I$215=Budget_Increase_FY),G28/G$33*H$48,0),0)</f>
        <v>0</v>
      </c>
      <c r="I28" s="278">
        <f>IFERROR((H28/H$33*(I$50-IF(Dashboard!J$215&gt;Budget_Reduction_FY,0,I$47)-IF(Dashboard!J$215&gt;Budget_Increase_FY,0,I$48)))+
IF(AND(Budget_Cut_Amount*Cut_No_Recession&lt;&gt;0,Dashboard!J$215=Budget_Reduction_FY),((H28/H$33)*I$47*Cut_Weight_Safety),0)+
IF(AND(Budget_Increase_Amount&lt;&gt;0,Dashboard!J$215=Budget_Increase_FY),H28/H$33*I$48,0),0)</f>
        <v>0</v>
      </c>
      <c r="J28" s="278">
        <f>IFERROR((I28/I$33*(J$50-IF(Dashboard!K$215&gt;Budget_Reduction_FY,0,J$47)-IF(Dashboard!K$215&gt;Budget_Increase_FY,0,J$48)))+
IF(AND(Budget_Cut_Amount*Cut_No_Recession&lt;&gt;0,Dashboard!K$215=Budget_Reduction_FY),((I28/I$33)*J$47*Cut_Weight_Safety),0)+
IF(AND(Budget_Increase_Amount&lt;&gt;0,Dashboard!K$215=Budget_Increase_FY),I28/I$33*J$48,0),0)</f>
        <v>0</v>
      </c>
      <c r="K28" s="278">
        <f>IFERROR((J28/J$33*(K$50-IF(Dashboard!L$215&gt;Budget_Reduction_FY,0,K$47)-IF(Dashboard!L$215&gt;Budget_Increase_FY,0,K$48)))+
IF(AND(Budget_Cut_Amount*Cut_No_Recession&lt;&gt;0,Dashboard!L$215=Budget_Reduction_FY),((J28/J$33)*K$47*Cut_Weight_Safety),0)+
IF(AND(Budget_Increase_Amount&lt;&gt;0,Dashboard!L$215=Budget_Increase_FY),J28/J$33*K$48,0),0)</f>
        <v>0</v>
      </c>
      <c r="L28" s="263"/>
      <c r="M28" s="269">
        <f t="shared" si="41"/>
        <v>0</v>
      </c>
      <c r="N28" s="269">
        <f t="shared" si="41"/>
        <v>0</v>
      </c>
      <c r="O28" s="269">
        <f t="shared" si="41"/>
        <v>0</v>
      </c>
      <c r="P28" s="269">
        <f t="shared" si="41"/>
        <v>0</v>
      </c>
      <c r="Q28" s="269">
        <f t="shared" si="41"/>
        <v>0</v>
      </c>
      <c r="R28" s="269">
        <f t="shared" si="41"/>
        <v>0</v>
      </c>
      <c r="S28" s="269">
        <f t="shared" si="41"/>
        <v>0</v>
      </c>
      <c r="T28" s="269">
        <f t="shared" si="41"/>
        <v>0</v>
      </c>
      <c r="U28" s="269">
        <f t="shared" si="41"/>
        <v>0</v>
      </c>
    </row>
    <row r="29" spans="1:21">
      <c r="A29" s="277" t="str">
        <f>Dashboard!A102</f>
        <v>Parks/Rec/Culture/Leisure</v>
      </c>
      <c r="B29" s="267">
        <f>Dashboard!C102*1000000</f>
        <v>1200867.4000000001</v>
      </c>
      <c r="C29" s="267">
        <f>Dashboard!D102*1000000</f>
        <v>1722999.19</v>
      </c>
      <c r="D29" s="278">
        <f>IFERROR(Dashboard!E102*1000000+IF(AND(Dashboard!E$215=Budget_Reduction_FY,Budget_Cut_Amount*Cut_No_Recession&lt;&gt;0),(D$47-(D$47*((C$27+C$28)/C$33)*Cut_Weight_Safety))*(C29/(SUM(C$26,C$29:C$32))),0)+
IF(AND(Budget_Increase_Amount&lt;&gt;0,Dashboard!E$215=Budget_Increase_FY),D$48*(C29/C$33),0)*(C29/C$33*(D$50-IF(Dashboard!E$215&gt;Budget_Reduction_FY,0,D$47)-IF(Dashboard!E$215&gt;Budget_Increase_FY,0,D$48)))+
IF(AND(Dashboard!E$215=Budget_Reduction_FY,Budget_Cut_Amount*Cut_No_Recession&lt;&gt;0),(D$47-(D$47*((C$27+C$28)/C$33)*Cut_Weight_Safety))*(C29/(SUM(C$26,C$29:C$32))),0)+
IF(AND(Budget_Increase_Amount&lt;&gt;0,Dashboard!E$215=Budget_Increase_FY),D$48*(C29/C$33),0),0)</f>
        <v>2049345.4299999997</v>
      </c>
      <c r="E29" s="279">
        <f>IFERROR(IF(Bud_Calc=1,Dashboard!G102*1000000,Dashboard!F102*1000000)+IF(AND(Dashboard!F$215=Budget_Reduction_FY,Budget_Cut_Amount*Cut_No_Recession&lt;&gt;0),(E$47-(E$47*((D$27+D$28)/D$33)*Cut_Weight_Safety))*(D29/(SUM(D$26,D$29:D$32))),0)+E$48*(D29/D$33),0)</f>
        <v>1361570.9979636013</v>
      </c>
      <c r="F29" s="278">
        <f>IFERROR((E29/E$33*(F$50-IF(Dashboard!G$215&gt;Budget_Reduction_FY,0,F$47)-IF(Dashboard!G$215&gt;Budget_Increase_FY,0,F$48)))+
IF(AND(Dashboard!G$215=Budget_Reduction_FY,Budget_Cut_Amount*Cut_No_Recession&lt;&gt;0),(F$47-(F$47*((E$27+E$28)/E$33)*Cut_Weight_Safety))*(E29/(SUM(E$26,E$29:E$32))),0)+
IF(AND(Budget_Increase_Amount&lt;&gt;0,Dashboard!G$215=Budget_Increase_FY),F$48*(E29/E$33),0),0)</f>
        <v>2228501.9278622014</v>
      </c>
      <c r="G29" s="278">
        <f>IFERROR((F29/F$33*(G$50-IF(Dashboard!H$215&gt;Budget_Reduction_FY,0,G$47)-IF(Dashboard!H$215&gt;Budget_Increase_FY,0,G$48)))+
IF(AND(Dashboard!H$215=Budget_Reduction_FY,Budget_Cut_Amount*Cut_No_Recession&lt;&gt;0),(G$47-(G$47*((F$27+F$28)/F$33)*Cut_Weight_Safety))*(F29/(SUM(F$26,F$29:F$32))),0)+
IF(AND(Budget_Increase_Amount&lt;&gt;0,Dashboard!H$215=Budget_Increase_FY),G$48*(F29/F$33),0),0)</f>
        <v>2353959.3300142372</v>
      </c>
      <c r="H29" s="278">
        <f>IFERROR((G29/G$33*(H$50-IF(Dashboard!I$215&gt;Budget_Reduction_FY,0,H$47)-IF(Dashboard!I$215&gt;Budget_Increase_FY,0,H$48)))+
IF(AND(Dashboard!I$215=Budget_Reduction_FY,Budget_Cut_Amount*Cut_No_Recession&lt;&gt;0),(H$47-(H$47*((G$27+G$28)/G$33)*Cut_Weight_Safety))*(G29/(SUM(G$26,G$29:G$32))),0)+
IF(AND(Budget_Increase_Amount&lt;&gt;0,Dashboard!I$215=Budget_Increase_FY),H$48*(G29/G$33),0),0)</f>
        <v>2432076.0034852698</v>
      </c>
      <c r="I29" s="278">
        <f>IFERROR((H29/H$33*(I$50-IF(Dashboard!J$215&gt;Budget_Reduction_FY,0,I$47)-IF(Dashboard!J$215&gt;Budget_Increase_FY,0,I$48)))+
IF(AND(Dashboard!J$215=Budget_Reduction_FY,Budget_Cut_Amount*Cut_No_Recession&lt;&gt;0),(I$47-(I$47*((H$27+H$28)/H$33)*Cut_Weight_Safety))*(H29/(SUM(H$26,H$29:H$32))),0)+
IF(AND(Budget_Increase_Amount&lt;&gt;0,Dashboard!J$215=Budget_Increase_FY),I$48*(H29/H$33),0),0)</f>
        <v>2473970.6538541075</v>
      </c>
      <c r="J29" s="278">
        <f>IFERROR((I29/I$33*(J$50-IF(Dashboard!K$215&gt;Budget_Reduction_FY,0,J$47)-IF(Dashboard!K$215&gt;Budget_Increase_FY,0,J$48)))+
IF(AND(Dashboard!K$215=Budget_Reduction_FY,Budget_Cut_Amount*Cut_No_Recession&lt;&gt;0),(J$47-(J$47*((I$27+I$28)/I$33)*Cut_Weight_Safety))*(I29/(SUM(I$26,I$29:I$32))),0)+
IF(AND(Budget_Increase_Amount&lt;&gt;0,Dashboard!K$215=Budget_Increase_FY),J$48*(I29/I$33),0),0)</f>
        <v>2567259.6267926442</v>
      </c>
      <c r="K29" s="278">
        <f>IFERROR((J29/J$33*(K$50-IF(Dashboard!L$215&gt;Budget_Reduction_FY,0,K$47)-IF(Dashboard!L$215&gt;Budget_Increase_FY,0,K$48)))+
IF(AND(Dashboard!L$215=Budget_Reduction_FY,Budget_Cut_Amount*Cut_No_Recession&lt;&gt;0),(K$47-(K$47*((J$27+J$28)/J$33)*Cut_Weight_Safety))*(J29/(SUM(J$26,J$29:J$32))),0)+
IF(AND(Budget_Increase_Amount&lt;&gt;0,Dashboard!L$215=Budget_Increase_FY),K$48*(J29/J$33),0),0)</f>
        <v>2664286.6422319105</v>
      </c>
      <c r="L29" s="263"/>
      <c r="M29" s="269">
        <f t="shared" si="41"/>
        <v>0.43479554029029321</v>
      </c>
      <c r="N29" s="269">
        <f t="shared" si="41"/>
        <v>0.189405916087517</v>
      </c>
      <c r="O29" s="269">
        <f t="shared" si="41"/>
        <v>-0.33560688304089303</v>
      </c>
      <c r="P29" s="269">
        <f t="shared" si="41"/>
        <v>0.63671371613761107</v>
      </c>
      <c r="Q29" s="269">
        <f t="shared" si="41"/>
        <v>5.6296743827539242E-2</v>
      </c>
      <c r="R29" s="269">
        <f t="shared" si="41"/>
        <v>3.3185226471419194E-2</v>
      </c>
      <c r="S29" s="269">
        <f t="shared" si="41"/>
        <v>1.7225880403737737E-2</v>
      </c>
      <c r="T29" s="269">
        <f t="shared" si="41"/>
        <v>3.7708197060949411E-2</v>
      </c>
      <c r="U29" s="269">
        <f t="shared" si="41"/>
        <v>3.7794001988215475E-2</v>
      </c>
    </row>
    <row r="30" spans="1:21">
      <c r="A30" s="277" t="str">
        <f>Dashboard!A103</f>
        <v>Community Development</v>
      </c>
      <c r="B30" s="267">
        <f>Dashboard!C103*1000000</f>
        <v>2130286.0499999998</v>
      </c>
      <c r="C30" s="267">
        <f>Dashboard!D103*1000000</f>
        <v>2008336.27</v>
      </c>
      <c r="D30" s="278">
        <f>IFERROR(Dashboard!E103*1000000+IF(AND(Dashboard!E$215=Budget_Reduction_FY,Budget_Cut_Amount*Cut_No_Recession&lt;&gt;0),(D$47-(D$47*((C$27+C$28)/C$33)*Cut_Weight_Safety))*(C30/(SUM(C$26,C$29:C$32))),0)+
IF(AND(Budget_Increase_Amount&lt;&gt;0,Dashboard!E$215=Budget_Increase_FY),D$48*(C30/C$33),0)*(C30/C$33*(D$50-IF(Dashboard!E$215&gt;Budget_Reduction_FY,0,D$47)-IF(Dashboard!E$215&gt;Budget_Increase_FY,0,D$48)))+
IF(AND(Dashboard!E$215=Budget_Reduction_FY,Budget_Cut_Amount*Cut_No_Recession&lt;&gt;0),(D$47-(D$47*((C$27+C$28)/C$33)*Cut_Weight_Safety))*(C30/(SUM(C$26,C$29:C$32))),0)+
IF(AND(Budget_Increase_Amount&lt;&gt;0,Dashboard!E$215=Budget_Increase_FY),D$48*(C30/C$33),0),0)</f>
        <v>1831084.6500000001</v>
      </c>
      <c r="E30" s="279">
        <f>IFERROR(IF(Bud_Calc=1,Dashboard!G103*1000000,Dashboard!F103*1000000)+IF(AND(Dashboard!F$215=Budget_Reduction_FY,Budget_Cut_Amount*Cut_No_Recession&lt;&gt;0),(E$47-(E$47*((D$27+D$28)/D$33)*Cut_Weight_Safety))*(D30/(SUM(D$26,D$29:D$32))),0)+E$48*(D30/D$33),0)</f>
        <v>1216560.0380294754</v>
      </c>
      <c r="F30" s="278">
        <f>IFERROR((E30/E$33*(F$50-IF(Dashboard!G$215&gt;Budget_Reduction_FY,0,F$47)-IF(Dashboard!G$215&gt;Budget_Increase_FY,0,F$48)))+
IF(AND(Dashboard!G$215=Budget_Reduction_FY,Budget_Cut_Amount*Cut_No_Recession&lt;&gt;0),(F$47-(F$47*((E$27+E$28)/E$33)*Cut_Weight_Safety))*(E30/(SUM(E$26,E$29:E$32))),0)+
IF(AND(Budget_Increase_Amount&lt;&gt;0,Dashboard!G$215=Budget_Increase_FY),F$48*(E30/E$33),0),0)</f>
        <v>1991160.5007477358</v>
      </c>
      <c r="G30" s="278">
        <f>IFERROR((F30/F$33*(G$50-IF(Dashboard!H$215&gt;Budget_Reduction_FY,0,G$47)-IF(Dashboard!H$215&gt;Budget_Increase_FY,0,G$48)))+
IF(AND(Dashboard!H$215=Budget_Reduction_FY,Budget_Cut_Amount*Cut_No_Recession&lt;&gt;0),(G$47-(G$47*((F$27+F$28)/F$33)*Cut_Weight_Safety))*(F30/(SUM(F$26,F$29:F$32))),0)+
IF(AND(Budget_Increase_Amount&lt;&gt;0,Dashboard!H$215=Budget_Increase_FY),G$48*(F30/F$33),0),0)</f>
        <v>2103256.3533778461</v>
      </c>
      <c r="H30" s="278">
        <f>IFERROR((G30/G$33*(H$50-IF(Dashboard!I$215&gt;Budget_Reduction_FY,0,H$47)-IF(Dashboard!I$215&gt;Budget_Increase_FY,0,H$48)))+
IF(AND(Dashboard!I$215=Budget_Reduction_FY,Budget_Cut_Amount*Cut_No_Recession&lt;&gt;0),(H$47-(H$47*((G$27+G$28)/G$33)*Cut_Weight_Safety))*(G30/(SUM(G$26,G$29:G$32))),0)+
IF(AND(Budget_Increase_Amount&lt;&gt;0,Dashboard!I$215=Budget_Increase_FY),H$48*(G30/G$33),0),0)</f>
        <v>2173053.3917921409</v>
      </c>
      <c r="I30" s="278">
        <f>IFERROR((H30/H$33*(I$50-IF(Dashboard!J$215&gt;Budget_Reduction_FY,0,I$47)-IF(Dashboard!J$215&gt;Budget_Increase_FY,0,I$48)))+
IF(AND(Dashboard!J$215=Budget_Reduction_FY,Budget_Cut_Amount*Cut_No_Recession&lt;&gt;0),(I$47-(I$47*((H$27+H$28)/H$33)*Cut_Weight_Safety))*(H30/(SUM(H$26,H$29:H$32))),0)+
IF(AND(Budget_Increase_Amount&lt;&gt;0,Dashboard!J$215=Budget_Increase_FY),I$48*(H30/H$33),0),0)</f>
        <v>2210486.1496300893</v>
      </c>
      <c r="J30" s="278">
        <f>IFERROR((I30/I$33*(J$50-IF(Dashboard!K$215&gt;Budget_Reduction_FY,0,J$47)-IF(Dashboard!K$215&gt;Budget_Increase_FY,0,J$48)))+
IF(AND(Dashboard!K$215=Budget_Reduction_FY,Budget_Cut_Amount*Cut_No_Recession&lt;&gt;0),(J$47-(J$47*((I$27+I$28)/I$33)*Cut_Weight_Safety))*(I30/(SUM(I$26,I$29:I$32))),0)+
IF(AND(Budget_Increase_Amount&lt;&gt;0,Dashboard!K$215=Budget_Increase_FY),J$48*(I30/I$33),0),0)</f>
        <v>2293839.5969608403</v>
      </c>
      <c r="K30" s="278">
        <f>IFERROR((J30/J$33*(K$50-IF(Dashboard!L$215&gt;Budget_Reduction_FY,0,K$47)-IF(Dashboard!L$215&gt;Budget_Increase_FY,0,K$48)))+
IF(AND(Dashboard!L$215=Budget_Reduction_FY,Budget_Cut_Amount*Cut_No_Recession&lt;&gt;0),(K$47-(K$47*((J$27+J$28)/J$33)*Cut_Weight_Safety))*(J30/(SUM(J$26,J$29:J$32))),0)+
IF(AND(Budget_Increase_Amount&lt;&gt;0,Dashboard!L$215=Budget_Increase_FY),K$48*(J30/J$33),0),0)</f>
        <v>2380532.9752490255</v>
      </c>
      <c r="L30" s="263"/>
      <c r="M30" s="269">
        <f t="shared" si="41"/>
        <v>-5.7245729980722415E-2</v>
      </c>
      <c r="N30" s="269">
        <f t="shared" si="41"/>
        <v>-8.8257938995445206E-2</v>
      </c>
      <c r="O30" s="269">
        <f t="shared" si="41"/>
        <v>-0.33560688304089314</v>
      </c>
      <c r="P30" s="269">
        <f t="shared" si="41"/>
        <v>0.63671371613761085</v>
      </c>
      <c r="Q30" s="269">
        <f t="shared" si="41"/>
        <v>5.6296743827539242E-2</v>
      </c>
      <c r="R30" s="269">
        <f t="shared" si="41"/>
        <v>3.3185226471418972E-2</v>
      </c>
      <c r="S30" s="269">
        <f t="shared" si="41"/>
        <v>1.7225880403737959E-2</v>
      </c>
      <c r="T30" s="269">
        <f t="shared" si="41"/>
        <v>3.7708197060949633E-2</v>
      </c>
      <c r="U30" s="269">
        <f t="shared" si="41"/>
        <v>3.7794001988215475E-2</v>
      </c>
    </row>
    <row r="31" spans="1:21">
      <c r="A31" s="277" t="str">
        <f>Dashboard!A104</f>
        <v>Public Works</v>
      </c>
      <c r="B31" s="267">
        <f>Dashboard!C104*1000000</f>
        <v>786087.94999999984</v>
      </c>
      <c r="C31" s="267">
        <f>Dashboard!D104*1000000</f>
        <v>673725.56000000017</v>
      </c>
      <c r="D31" s="278">
        <f>IFERROR(Dashboard!E104*1000000+IF(AND(Dashboard!E$215=Budget_Reduction_FY,Budget_Cut_Amount*Cut_No_Recession&lt;&gt;0),(D$47-(D$47*((C$27+C$28)/C$33)*Cut_Weight_Safety))*(C31/(SUM(C$26,C$29:C$32))),0)+
IF(AND(Budget_Increase_Amount&lt;&gt;0,Dashboard!E$215=Budget_Increase_FY),D$48*(C31/C$33),0)*(C31/C$33*(D$50-IF(Dashboard!E$215&gt;Budget_Reduction_FY,0,D$47)-IF(Dashboard!E$215&gt;Budget_Increase_FY,0,D$48)))+
IF(AND(Dashboard!E$215=Budget_Reduction_FY,Budget_Cut_Amount*Cut_No_Recession&lt;&gt;0),(D$47-(D$47*((C$27+C$28)/C$33)*Cut_Weight_Safety))*(C31/(SUM(C$26,C$29:C$32))),0)+
IF(AND(Budget_Increase_Amount&lt;&gt;0,Dashboard!E$215=Budget_Increase_FY),D$48*(C31/C$33),0),0)</f>
        <v>810935.27</v>
      </c>
      <c r="E31" s="279">
        <f>IFERROR(IF(Bud_Calc=1,Dashboard!G104*1000000,Dashboard!F104*1000000)+IF(AND(Dashboard!F$215=Budget_Reduction_FY,Budget_Cut_Amount*Cut_No_Recession&lt;&gt;0),(E$47-(E$47*((D$27+D$28)/D$33)*Cut_Weight_Safety))*(D31/(SUM(D$26,D$29:D$32))),0)+E$48*(D31/D$33),0)</f>
        <v>538779.81168737495</v>
      </c>
      <c r="F31" s="278">
        <f>IFERROR((E31/E$33*(F$50-IF(Dashboard!G$215&gt;Budget_Reduction_FY,0,F$47)-IF(Dashboard!G$215&gt;Budget_Increase_FY,0,F$48)))+
IF(AND(Dashboard!G$215=Budget_Reduction_FY,Budget_Cut_Amount*Cut_No_Recession&lt;&gt;0),(F$47-(F$47*((E$27+E$28)/E$33)*Cut_Weight_Safety))*(E31/(SUM(E$26,E$29:E$32))),0)+
IF(AND(Budget_Increase_Amount&lt;&gt;0,Dashboard!G$215=Budget_Increase_FY),F$48*(E31/E$33),0),0)</f>
        <v>881828.30776676571</v>
      </c>
      <c r="G31" s="278">
        <f>IFERROR((F31/F$33*(G$50-IF(Dashboard!H$215&gt;Budget_Reduction_FY,0,G$47)-IF(Dashboard!H$215&gt;Budget_Increase_FY,0,G$48)))+
IF(AND(Dashboard!H$215=Budget_Reduction_FY,Budget_Cut_Amount*Cut_No_Recession&lt;&gt;0),(G$47-(G$47*((F$27+F$28)/F$33)*Cut_Weight_Safety))*(F31/(SUM(F$26,F$29:F$32))),0)+
IF(AND(Budget_Increase_Amount&lt;&gt;0,Dashboard!H$215=Budget_Increase_FY),G$48*(F31/F$33),0),0)</f>
        <v>931472.37010898395</v>
      </c>
      <c r="H31" s="278">
        <f>IFERROR((G31/G$33*(H$50-IF(Dashboard!I$215&gt;Budget_Reduction_FY,0,H$47)-IF(Dashboard!I$215&gt;Budget_Increase_FY,0,H$48)))+
IF(AND(Dashboard!I$215=Budget_Reduction_FY,Budget_Cut_Amount*Cut_No_Recession&lt;&gt;0),(H$47-(H$47*((G$27+G$28)/G$33)*Cut_Weight_Safety))*(G31/(SUM(G$26,G$29:G$32))),0)+
IF(AND(Budget_Increase_Amount&lt;&gt;0,Dashboard!I$215=Budget_Increase_FY),H$48*(G31/G$33),0),0)</f>
        <v>962383.4916629201</v>
      </c>
      <c r="I31" s="278">
        <f>IFERROR((H31/H$33*(I$50-IF(Dashboard!J$215&gt;Budget_Reduction_FY,0,I$47)-IF(Dashboard!J$215&gt;Budget_Increase_FY,0,I$48)))+
IF(AND(Dashboard!J$215=Budget_Reduction_FY,Budget_Cut_Amount*Cut_No_Recession&lt;&gt;0),(I$47-(I$47*((H$27+H$28)/H$33)*Cut_Weight_Safety))*(H31/(SUM(H$26,H$29:H$32))),0)+
IF(AND(Budget_Increase_Amount&lt;&gt;0,Dashboard!J$215=Budget_Increase_FY),I$48*(H31/H$33),0),0)</f>
        <v>978961.3945928372</v>
      </c>
      <c r="J31" s="278">
        <f>IFERROR((I31/I$33*(J$50-IF(Dashboard!K$215&gt;Budget_Reduction_FY,0,J$47)-IF(Dashboard!K$215&gt;Budget_Increase_FY,0,J$48)))+
IF(AND(Dashboard!K$215=Budget_Reduction_FY,Budget_Cut_Amount*Cut_No_Recession&lt;&gt;0),(J$47-(J$47*((I$27+I$28)/I$33)*Cut_Weight_Safety))*(I31/(SUM(I$26,I$29:I$32))),0)+
IF(AND(Budget_Increase_Amount&lt;&gt;0,Dashboard!K$215=Budget_Increase_FY),J$48*(I31/I$33),0),0)</f>
        <v>1015876.2637752059</v>
      </c>
      <c r="K31" s="278">
        <f>IFERROR((J31/J$33*(K$50-IF(Dashboard!L$215&gt;Budget_Reduction_FY,0,K$47)-IF(Dashboard!L$215&gt;Budget_Increase_FY,0,K$48)))+
IF(AND(Dashboard!L$215=Budget_Reduction_FY,Budget_Cut_Amount*Cut_No_Recession&lt;&gt;0),(K$47-(K$47*((J$27+J$28)/J$33)*Cut_Weight_Safety))*(J31/(SUM(J$26,J$29:J$32))),0)+
IF(AND(Budget_Increase_Amount&lt;&gt;0,Dashboard!L$215=Budget_Increase_FY),K$48*(J31/J$33),0),0)</f>
        <v>1054270.2933081069</v>
      </c>
      <c r="L31" s="263"/>
      <c r="M31" s="269">
        <f t="shared" si="41"/>
        <v>-0.14293870043421941</v>
      </c>
      <c r="N31" s="269">
        <f t="shared" si="41"/>
        <v>0.20365816312505625</v>
      </c>
      <c r="O31" s="269">
        <f t="shared" si="41"/>
        <v>-0.33560688304089314</v>
      </c>
      <c r="P31" s="269">
        <f t="shared" si="41"/>
        <v>0.63671371613761107</v>
      </c>
      <c r="Q31" s="269">
        <f t="shared" si="41"/>
        <v>5.6296743827539464E-2</v>
      </c>
      <c r="R31" s="269">
        <f t="shared" si="41"/>
        <v>3.3185226471419194E-2</v>
      </c>
      <c r="S31" s="269">
        <f t="shared" si="41"/>
        <v>1.7225880403737737E-2</v>
      </c>
      <c r="T31" s="269">
        <f t="shared" si="41"/>
        <v>3.7708197060949633E-2</v>
      </c>
      <c r="U31" s="269">
        <f t="shared" si="41"/>
        <v>3.7794001988215475E-2</v>
      </c>
    </row>
    <row r="32" spans="1:21">
      <c r="A32" s="277" t="str">
        <f>Dashboard!A105</f>
        <v>Non-Departmental</v>
      </c>
      <c r="B32" s="267">
        <f>Dashboard!C105*1000000</f>
        <v>548185.93000000005</v>
      </c>
      <c r="C32" s="267">
        <f>Dashboard!D105*1000000</f>
        <v>1982529</v>
      </c>
      <c r="D32" s="280">
        <f>IFERROR(Dashboard!E105*1000000+IF(AND(Dashboard!E$215=Budget_Reduction_FY,Budget_Cut_Amount*Cut_No_Recession&lt;&gt;0),(D$47-(D$47*((C$27+C$28)/C$33)*Cut_Weight_Safety))*(C32/(SUM(C$26,C$29:C$32))),0)+
IF(AND(Budget_Increase_Amount&lt;&gt;0,Dashboard!E$215=Budget_Increase_FY),D$48*(C32/C$33),0)*(C32/C$33*(D$50-IF(Dashboard!E$215&gt;Budget_Reduction_FY,0,D$47)-IF(Dashboard!E$215&gt;Budget_Increase_FY,0,D$48)))+
IF(AND(Dashboard!E$215=Budget_Reduction_FY,Budget_Cut_Amount*Cut_No_Recession&lt;&gt;0),(D$47-(D$47*((C$27+C$28)/C$33)*Cut_Weight_Safety))*(C32/(SUM(C$26,C$29:C$32))),0)+
IF(AND(Budget_Increase_Amount&lt;&gt;0,Dashboard!E$215=Budget_Increase_FY),D$48*(C32/C$33),0)+FY20_Add_only*1000000,0)</f>
        <v>750587.03</v>
      </c>
      <c r="E32" s="279">
        <f>IFERROR(IF(Bud_Calc=1,Dashboard!G105*1000000,Dashboard!F105*1000000)+IF(AND(Dashboard!F$215=Budget_Reduction_FY,Budget_Cut_Amount*Cut_No_Recession&lt;&gt;0),(E$47-(E$47*((D$27+D$28)/D$33)*Cut_Weight_Safety))*(D32/(SUM(D$26,D$29:D$32))),0)+E$48*(D32/D$33),0)</f>
        <v>0</v>
      </c>
      <c r="F32" s="278">
        <f>IFERROR((E32/E$33*(F$50-IF(Dashboard!G$215&gt;Budget_Reduction_FY,0,F$47)-IF(Dashboard!G$215&gt;Budget_Increase_FY,0,F$48)))+
IF(AND(Dashboard!G$215=Budget_Reduction_FY,Budget_Cut_Amount*Cut_No_Recession&lt;&gt;0),(F$47-(F$47*((E$27+E$28)/E$33)*Cut_Weight_Safety))*(E32/(SUM(E$26,E$29:E$32))),0)+
IF(AND(Budget_Increase_Amount&lt;&gt;0,Dashboard!G$215=Budget_Increase_FY),F$48*(E32/E$33),0),0)</f>
        <v>0</v>
      </c>
      <c r="G32" s="278">
        <f>IFERROR((F32/F$33*(G$50-IF(Dashboard!H$215&gt;Budget_Reduction_FY,0,G$47)-IF(Dashboard!H$215&gt;Budget_Increase_FY,0,G$48)))+
IF(AND(Dashboard!H$215=Budget_Reduction_FY,Budget_Cut_Amount*Cut_No_Recession&lt;&gt;0),(G$47-(G$47*((F$27+F$28)/F$33)*Cut_Weight_Safety))*(F32/(SUM(F$26,F$29:F$32))),0)+
IF(AND(Budget_Increase_Amount&lt;&gt;0,Dashboard!H$215=Budget_Increase_FY),G$48*(F32/F$33),0),0)</f>
        <v>0</v>
      </c>
      <c r="H32" s="278">
        <f>IFERROR((G32/G$33*(H$50-IF(Dashboard!I$215&gt;Budget_Reduction_FY,0,H$47)-IF(Dashboard!I$215&gt;Budget_Increase_FY,0,H$48)))+
IF(AND(Dashboard!I$215=Budget_Reduction_FY,Budget_Cut_Amount*Cut_No_Recession&lt;&gt;0),(H$47-(H$47*((G$27+G$28)/G$33)*Cut_Weight_Safety))*(G32/(SUM(G$26,G$29:G$32))),0)+
IF(AND(Budget_Increase_Amount&lt;&gt;0,Dashboard!I$215=Budget_Increase_FY),H$48*(G32/G$33),0),0)</f>
        <v>0</v>
      </c>
      <c r="I32" s="278">
        <f>IFERROR((H32/H$33*(I$50-IF(Dashboard!J$215&gt;Budget_Reduction_FY,0,I$47)-IF(Dashboard!J$215&gt;Budget_Increase_FY,0,I$48)))+
IF(AND(Dashboard!J$215=Budget_Reduction_FY,Budget_Cut_Amount*Cut_No_Recession&lt;&gt;0),(I$47-(I$47*((H$27+H$28)/H$33)*Cut_Weight_Safety))*(H32/(SUM(H$26,H$29:H$32))),0)+
IF(AND(Budget_Increase_Amount&lt;&gt;0,Dashboard!J$215=Budget_Increase_FY),I$48*(H32/H$33),0),0)</f>
        <v>0</v>
      </c>
      <c r="J32" s="278">
        <f>IFERROR((I32/I$33*(J$50-IF(Dashboard!K$215&gt;Budget_Reduction_FY,0,J$47)-IF(Dashboard!K$215&gt;Budget_Increase_FY,0,J$48)))+
IF(AND(Dashboard!K$215=Budget_Reduction_FY,Budget_Cut_Amount*Cut_No_Recession&lt;&gt;0),(J$47-(J$47*((I$27+I$28)/I$33)*Cut_Weight_Safety))*(I32/(SUM(I$26,I$29:I$32))),0)+
IF(AND(Budget_Increase_Amount&lt;&gt;0,Dashboard!K$215=Budget_Increase_FY),J$48*(I32/I$33),0),0)</f>
        <v>0</v>
      </c>
      <c r="K32" s="278">
        <f>IFERROR((J32/J$33*(K$50-IF(Dashboard!L$215&gt;Budget_Reduction_FY,0,K$47)-IF(Dashboard!L$215&gt;Budget_Increase_FY,0,K$48)))+
IF(AND(Dashboard!L$215=Budget_Reduction_FY,Budget_Cut_Amount*Cut_No_Recession&lt;&gt;0),(K$47-(K$47*((J$27+J$28)/J$33)*Cut_Weight_Safety))*(J32/(SUM(J$26,J$29:J$32))),0)+
IF(AND(Budget_Increase_Amount&lt;&gt;0,Dashboard!L$215=Budget_Increase_FY),K$48*(J32/J$33),0),0)</f>
        <v>0</v>
      </c>
      <c r="L32" s="263"/>
      <c r="M32" s="269">
        <f t="shared" si="41"/>
        <v>2.6165266043949722</v>
      </c>
      <c r="N32" s="269">
        <f t="shared" si="41"/>
        <v>-0.62139921786768315</v>
      </c>
      <c r="O32" s="269">
        <f t="shared" si="41"/>
        <v>-1</v>
      </c>
      <c r="P32" s="269">
        <f t="shared" si="41"/>
        <v>0</v>
      </c>
      <c r="Q32" s="269">
        <f t="shared" si="41"/>
        <v>0</v>
      </c>
      <c r="R32" s="269">
        <f t="shared" si="41"/>
        <v>0</v>
      </c>
      <c r="S32" s="269">
        <f t="shared" si="41"/>
        <v>0</v>
      </c>
      <c r="T32" s="269">
        <f t="shared" si="41"/>
        <v>0</v>
      </c>
      <c r="U32" s="269">
        <f t="shared" si="41"/>
        <v>0</v>
      </c>
    </row>
    <row r="33" spans="1:21" ht="15" thickBot="1">
      <c r="A33" s="264" t="s">
        <v>42</v>
      </c>
      <c r="B33" s="272">
        <f t="shared" ref="B33:K33" si="42">SUM(B26:B32)</f>
        <v>12241582.82</v>
      </c>
      <c r="C33" s="272">
        <f t="shared" si="42"/>
        <v>14033824.300000001</v>
      </c>
      <c r="D33" s="272">
        <f t="shared" ref="D33:E33" si="43">SUM(D26:D32)</f>
        <v>13610404.859999999</v>
      </c>
      <c r="E33" s="272">
        <f t="shared" si="43"/>
        <v>8543974.4515999984</v>
      </c>
      <c r="F33" s="272">
        <f t="shared" si="42"/>
        <v>13984040.17526304</v>
      </c>
      <c r="G33" s="272">
        <f t="shared" si="42"/>
        <v>14771296.102683842</v>
      </c>
      <c r="H33" s="272">
        <f t="shared" si="42"/>
        <v>15261484.909127796</v>
      </c>
      <c r="I33" s="272">
        <f t="shared" si="42"/>
        <v>15524377.422955882</v>
      </c>
      <c r="J33" s="272">
        <f t="shared" si="42"/>
        <v>16109773.706069257</v>
      </c>
      <c r="K33" s="272">
        <f t="shared" si="42"/>
        <v>16718626.525546143</v>
      </c>
      <c r="L33" s="263"/>
      <c r="M33" s="281">
        <f t="shared" si="41"/>
        <v>0.14640602496859145</v>
      </c>
      <c r="N33" s="281">
        <f t="shared" si="41"/>
        <v>-3.0171351083539077E-2</v>
      </c>
      <c r="O33" s="281">
        <f t="shared" si="41"/>
        <v>-0.37224685529303214</v>
      </c>
      <c r="P33" s="281">
        <f t="shared" si="41"/>
        <v>0.63671371613761085</v>
      </c>
      <c r="Q33" s="281">
        <f t="shared" si="41"/>
        <v>5.6296743827539464E-2</v>
      </c>
      <c r="R33" s="281">
        <f t="shared" si="41"/>
        <v>3.3185226471419194E-2</v>
      </c>
      <c r="S33" s="281">
        <f t="shared" si="41"/>
        <v>1.7225880403737959E-2</v>
      </c>
      <c r="T33" s="281">
        <f t="shared" si="41"/>
        <v>3.7708197060949411E-2</v>
      </c>
      <c r="U33" s="281">
        <f t="shared" si="41"/>
        <v>3.7794001988215697E-2</v>
      </c>
    </row>
    <row r="34" spans="1:21" ht="15" thickTop="1">
      <c r="A34" s="282"/>
      <c r="B34" s="263"/>
      <c r="C34" s="263"/>
      <c r="D34" s="263"/>
      <c r="E34" s="263"/>
      <c r="F34" s="263"/>
      <c r="G34" s="263"/>
      <c r="H34" s="263"/>
      <c r="I34" s="263"/>
      <c r="J34" s="263"/>
      <c r="K34" s="263"/>
      <c r="L34" s="263"/>
      <c r="M34" s="283"/>
      <c r="N34" s="275"/>
      <c r="O34" s="275"/>
      <c r="P34" s="275"/>
      <c r="Q34" s="275"/>
      <c r="R34" s="275"/>
      <c r="S34" s="275"/>
      <c r="T34" s="275"/>
      <c r="U34" s="275"/>
    </row>
    <row r="35" spans="1:21">
      <c r="A35" s="277" t="str">
        <f>Dashboard!H94</f>
        <v>Salaries/Add-Pays/Incentives</v>
      </c>
      <c r="B35" s="267">
        <f>Dashboard!J94*1000000</f>
        <v>2643100</v>
      </c>
      <c r="C35" s="267">
        <f>Dashboard!K94*1000000</f>
        <v>2857500</v>
      </c>
      <c r="D35" s="267">
        <f>Dashboard!L94*1000000</f>
        <v>3164055</v>
      </c>
      <c r="E35" s="268">
        <f>IF(Bud_Calc=1,Dashboard!N94*1000000,Dashboard!M94*1000000)</f>
        <v>3290617.1999999997</v>
      </c>
      <c r="F35" s="284">
        <f>E35*IF(Salary_Growth_Option=0,(1+Dashboard!I$111),(1+Dashboard!H$134))</f>
        <v>3422241.8879999998</v>
      </c>
      <c r="G35" s="284">
        <f>F35*IF(Salary_Growth_Option=0,(1+Dashboard!J$111),(1+Dashboard!I$134))</f>
        <v>3559131.5635199999</v>
      </c>
      <c r="H35" s="284">
        <f>G35*IF(Salary_Growth_Option=0,(1+Dashboard!K$111),(1+Dashboard!J$134))</f>
        <v>3701496.8260607999</v>
      </c>
      <c r="I35" s="284">
        <f>H35*IF(Salary_Growth_Option=0,(1+Dashboard!L$111),(1+Dashboard!K$134))</f>
        <v>3849556.699103232</v>
      </c>
      <c r="J35" s="284">
        <f>I35*IF(Salary_Growth_Option=0,(1+Dashboard!M$111),(1+Dashboard!L$134))</f>
        <v>4003538.9670673613</v>
      </c>
      <c r="K35" s="284">
        <f>J35*IF(Salary_Growth_Option=0,(1+Dashboard!N$111),(1+Dashboard!M$134))</f>
        <v>4163680.5257500559</v>
      </c>
      <c r="L35" s="263"/>
      <c r="M35" s="269">
        <f t="shared" ref="M35:M50" si="44">IFERROR(C35/B35-1,0)</f>
        <v>8.1116870341644276E-2</v>
      </c>
      <c r="N35" s="269">
        <f t="shared" ref="N35:N50" si="45">IFERROR(D35/C35-1,0)</f>
        <v>0.10728083989501314</v>
      </c>
      <c r="O35" s="269">
        <f t="shared" ref="O35:O50" si="46">IFERROR(E35/D35-1,0)</f>
        <v>3.9999999999999813E-2</v>
      </c>
      <c r="P35" s="269">
        <f t="shared" ref="P35:P50" si="47">IFERROR(F35/E35-1,0)</f>
        <v>4.0000000000000036E-2</v>
      </c>
      <c r="Q35" s="269">
        <f t="shared" ref="Q35:Q50" si="48">IFERROR(G35/F35-1,0)</f>
        <v>4.0000000000000036E-2</v>
      </c>
      <c r="R35" s="269">
        <f t="shared" ref="R35:R50" si="49">IFERROR(H35/G35-1,0)</f>
        <v>4.0000000000000036E-2</v>
      </c>
      <c r="S35" s="269">
        <f t="shared" ref="S35:S50" si="50">IFERROR(I35/H35-1,0)</f>
        <v>4.0000000000000036E-2</v>
      </c>
      <c r="T35" s="269">
        <f t="shared" ref="T35:T50" si="51">IFERROR(J35/I35-1,0)</f>
        <v>4.0000000000000036E-2</v>
      </c>
      <c r="U35" s="269">
        <f t="shared" ref="U35:U50" si="52">IFERROR(K35/J35-1,0)</f>
        <v>4.0000000000000036E-2</v>
      </c>
    </row>
    <row r="36" spans="1:21">
      <c r="A36" s="277" t="str">
        <f>Dashboard!H95</f>
        <v>Overtime/Part-time</v>
      </c>
      <c r="B36" s="267">
        <f>Dashboard!J95*1000000</f>
        <v>0</v>
      </c>
      <c r="C36" s="267">
        <f>Dashboard!K95*1000000</f>
        <v>0</v>
      </c>
      <c r="D36" s="267">
        <f>Dashboard!L95*1000000</f>
        <v>0</v>
      </c>
      <c r="E36" s="268">
        <f>IF(Bud_Calc=1,Dashboard!N95*1000000,Dashboard!M95*1000000)</f>
        <v>0</v>
      </c>
      <c r="F36" s="284">
        <f>E36*IF(Salary_Growth_Option=0,(1+Dashboard!I$111),(1+Dashboard!H$134))</f>
        <v>0</v>
      </c>
      <c r="G36" s="284">
        <f>F36*IF(Salary_Growth_Option=0,(1+Dashboard!J$111),(1+Dashboard!I$134))</f>
        <v>0</v>
      </c>
      <c r="H36" s="284">
        <f>G36*IF(Salary_Growth_Option=0,(1+Dashboard!K$111),(1+Dashboard!J$134))</f>
        <v>0</v>
      </c>
      <c r="I36" s="284">
        <f>H36*IF(Salary_Growth_Option=0,(1+Dashboard!L$111),(1+Dashboard!K$134))</f>
        <v>0</v>
      </c>
      <c r="J36" s="284">
        <f>I36*IF(Salary_Growth_Option=0,(1+Dashboard!M$111),(1+Dashboard!L$134))</f>
        <v>0</v>
      </c>
      <c r="K36" s="284">
        <f>J36*IF(Salary_Growth_Option=0,(1+Dashboard!N$111),(1+Dashboard!M$134))</f>
        <v>0</v>
      </c>
      <c r="L36" s="263"/>
      <c r="M36" s="269">
        <f t="shared" ref="M36" si="53">IFERROR(C36/B36-1,0)</f>
        <v>0</v>
      </c>
      <c r="N36" s="269">
        <f t="shared" ref="N36" si="54">IFERROR(D36/C36-1,0)</f>
        <v>0</v>
      </c>
      <c r="O36" s="269">
        <f t="shared" ref="O36" si="55">IFERROR(E36/D36-1,0)</f>
        <v>0</v>
      </c>
      <c r="P36" s="269">
        <f t="shared" ref="P36" si="56">IFERROR(F36/E36-1,0)</f>
        <v>0</v>
      </c>
      <c r="Q36" s="269">
        <f t="shared" ref="Q36" si="57">IFERROR(G36/F36-1,0)</f>
        <v>0</v>
      </c>
      <c r="R36" s="269">
        <f t="shared" ref="R36" si="58">IFERROR(H36/G36-1,0)</f>
        <v>0</v>
      </c>
      <c r="S36" s="269">
        <f t="shared" ref="S36" si="59">IFERROR(I36/H36-1,0)</f>
        <v>0</v>
      </c>
      <c r="T36" s="269">
        <f t="shared" ref="T36" si="60">IFERROR(J36/I36-1,0)</f>
        <v>0</v>
      </c>
      <c r="U36" s="269">
        <f t="shared" ref="U36" si="61">IFERROR(K36/J36-1,0)</f>
        <v>0</v>
      </c>
    </row>
    <row r="37" spans="1:21">
      <c r="A37" s="277" t="str">
        <f>Dashboard!H96</f>
        <v>Retirement</v>
      </c>
      <c r="B37" s="267">
        <f>Dashboard!J96*1000000</f>
        <v>0</v>
      </c>
      <c r="C37" s="267">
        <f>Dashboard!K96*1000000</f>
        <v>0</v>
      </c>
      <c r="D37" s="267">
        <f>Dashboard!L96*1000000</f>
        <v>0</v>
      </c>
      <c r="E37" s="268">
        <f>IF(Bud_Calc=1,Dashboard!N96*1000000,Dashboard!M96*1000000)</f>
        <v>0</v>
      </c>
      <c r="F37" s="280">
        <f>IF(Pension_Growth_Option=1,F35*Police_sworn*Dashboard!H138+F35*Fire_sworn*Dashboard!H139+F35*Misc_all_other*Dashboard!H140,E37*(1+Dashboard!I$113))</f>
        <v>0</v>
      </c>
      <c r="G37" s="280">
        <f>IF(Pension_Growth_Option=1,G35*Police_sworn*Dashboard!I138+G35*Fire_sworn*Dashboard!I139+G35*Misc_all_other*Dashboard!I140,F37*(1+Dashboard!J$113))</f>
        <v>0</v>
      </c>
      <c r="H37" s="280">
        <f>IF(Pension_Growth_Option=1,H35*Police_sworn*Dashboard!J138+H35*Fire_sworn*Dashboard!J139+H35*Misc_all_other*Dashboard!J140,G37*(1+Dashboard!K$113))</f>
        <v>0</v>
      </c>
      <c r="I37" s="280">
        <f>IF(Pension_Growth_Option=1,I35*Police_sworn*Dashboard!K138+I35*Fire_sworn*Dashboard!K139+I35*Misc_all_other*Dashboard!K140,H37*(1+Dashboard!L$113))</f>
        <v>0</v>
      </c>
      <c r="J37" s="280">
        <f>IF(Pension_Growth_Option=1,J35*Police_sworn*Dashboard!L138+J35*Fire_sworn*Dashboard!L139+J35*Misc_all_other*Dashboard!L140,I37*(1+Dashboard!M$113))</f>
        <v>0</v>
      </c>
      <c r="K37" s="280">
        <f>IF(Pension_Growth_Option=1,K35*Police_sworn*Dashboard!M138+K35*Fire_sworn*Dashboard!M139+K35*Misc_all_other*Dashboard!M140,J37*(1+Dashboard!N$113))</f>
        <v>0</v>
      </c>
      <c r="L37" s="263"/>
      <c r="M37" s="269">
        <f t="shared" si="44"/>
        <v>0</v>
      </c>
      <c r="N37" s="269">
        <f t="shared" si="45"/>
        <v>0</v>
      </c>
      <c r="O37" s="269">
        <f t="shared" si="46"/>
        <v>0</v>
      </c>
      <c r="P37" s="269">
        <f t="shared" si="47"/>
        <v>0</v>
      </c>
      <c r="Q37" s="269">
        <f t="shared" si="48"/>
        <v>0</v>
      </c>
      <c r="R37" s="269">
        <f t="shared" si="49"/>
        <v>0</v>
      </c>
      <c r="S37" s="269">
        <f t="shared" si="50"/>
        <v>0</v>
      </c>
      <c r="T37" s="269">
        <f t="shared" si="51"/>
        <v>0</v>
      </c>
      <c r="U37" s="269">
        <f t="shared" si="52"/>
        <v>0</v>
      </c>
    </row>
    <row r="38" spans="1:21">
      <c r="A38" s="277" t="str">
        <f>Dashboard!H97</f>
        <v>Health</v>
      </c>
      <c r="B38" s="267">
        <f>Dashboard!J97*1000000</f>
        <v>0</v>
      </c>
      <c r="C38" s="267">
        <f>Dashboard!K97*1000000</f>
        <v>0</v>
      </c>
      <c r="D38" s="267">
        <f>Dashboard!L97*1000000</f>
        <v>0</v>
      </c>
      <c r="E38" s="268">
        <f>IF(Bud_Calc=1,Dashboard!N97*1000000,Dashboard!M97*1000000)</f>
        <v>0</v>
      </c>
      <c r="F38" s="284">
        <f>E38*(1+Dashboard!I114)</f>
        <v>0</v>
      </c>
      <c r="G38" s="284">
        <f>F38*(1+Dashboard!J114)</f>
        <v>0</v>
      </c>
      <c r="H38" s="284">
        <f>G38*(1+Dashboard!K114)</f>
        <v>0</v>
      </c>
      <c r="I38" s="284">
        <f>H38*(1+Dashboard!L114)</f>
        <v>0</v>
      </c>
      <c r="J38" s="284">
        <f>I38*(1+Dashboard!M114)</f>
        <v>0</v>
      </c>
      <c r="K38" s="284">
        <f>J38*(1+Dashboard!N114)</f>
        <v>0</v>
      </c>
      <c r="L38" s="263"/>
      <c r="M38" s="269">
        <f t="shared" si="44"/>
        <v>0</v>
      </c>
      <c r="N38" s="269">
        <f t="shared" si="45"/>
        <v>0</v>
      </c>
      <c r="O38" s="269">
        <f t="shared" si="46"/>
        <v>0</v>
      </c>
      <c r="P38" s="269">
        <f t="shared" si="47"/>
        <v>0</v>
      </c>
      <c r="Q38" s="269">
        <f t="shared" si="48"/>
        <v>0</v>
      </c>
      <c r="R38" s="269">
        <f t="shared" si="49"/>
        <v>0</v>
      </c>
      <c r="S38" s="269">
        <f t="shared" si="50"/>
        <v>0</v>
      </c>
      <c r="T38" s="269">
        <f t="shared" si="51"/>
        <v>0</v>
      </c>
      <c r="U38" s="269">
        <f t="shared" si="52"/>
        <v>0</v>
      </c>
    </row>
    <row r="39" spans="1:21">
      <c r="A39" s="277" t="str">
        <f>Dashboard!H98</f>
        <v>Other Benefits</v>
      </c>
      <c r="B39" s="267">
        <f>Dashboard!J98*1000000</f>
        <v>984181.82</v>
      </c>
      <c r="C39" s="267">
        <f>Dashboard!K98*1000000</f>
        <v>1098146.2999999998</v>
      </c>
      <c r="D39" s="267">
        <f>Dashboard!L98*1000000</f>
        <v>1121806.8599999999</v>
      </c>
      <c r="E39" s="268">
        <f>IF(Bud_Calc=1,Dashboard!N98*1000000,Dashboard!M98*1000000)</f>
        <v>1189115.2715999999</v>
      </c>
      <c r="F39" s="284">
        <f>E39*(1+Dashboard!I115)</f>
        <v>1260462.187896</v>
      </c>
      <c r="G39" s="284">
        <f>F39*(1+Dashboard!J115)</f>
        <v>1336089.9191697601</v>
      </c>
      <c r="H39" s="284">
        <f>G39*(1+Dashboard!K115)</f>
        <v>1416255.3143199456</v>
      </c>
      <c r="I39" s="284">
        <f>H39*(1+Dashboard!L115)</f>
        <v>1501230.6331791424</v>
      </c>
      <c r="J39" s="284">
        <f>I39*(1+Dashboard!M115)</f>
        <v>1591304.4711698911</v>
      </c>
      <c r="K39" s="284">
        <f>J39*(1+Dashboard!N115)</f>
        <v>1686782.7394400847</v>
      </c>
      <c r="L39" s="263"/>
      <c r="M39" s="269">
        <f t="shared" si="44"/>
        <v>0.11579616457454978</v>
      </c>
      <c r="N39" s="269">
        <f t="shared" si="45"/>
        <v>2.1545908773721756E-2</v>
      </c>
      <c r="O39" s="269">
        <f t="shared" si="46"/>
        <v>6.0000000000000053E-2</v>
      </c>
      <c r="P39" s="269">
        <f t="shared" si="47"/>
        <v>6.0000000000000053E-2</v>
      </c>
      <c r="Q39" s="269">
        <f t="shared" si="48"/>
        <v>6.0000000000000053E-2</v>
      </c>
      <c r="R39" s="269">
        <f t="shared" si="49"/>
        <v>6.0000000000000053E-2</v>
      </c>
      <c r="S39" s="269">
        <f t="shared" si="50"/>
        <v>6.0000000000000053E-2</v>
      </c>
      <c r="T39" s="269">
        <f t="shared" si="51"/>
        <v>6.0000000000000053E-2</v>
      </c>
      <c r="U39" s="269">
        <f t="shared" si="52"/>
        <v>6.0000000000000053E-2</v>
      </c>
    </row>
    <row r="40" spans="1:21">
      <c r="A40" s="277" t="str">
        <f>Dashboard!H99</f>
        <v>Expense Credits/Savings</v>
      </c>
      <c r="B40" s="267">
        <f>Dashboard!J99*1000000</f>
        <v>0</v>
      </c>
      <c r="C40" s="267">
        <f>Dashboard!K99*1000000</f>
        <v>0</v>
      </c>
      <c r="D40" s="267">
        <f>Dashboard!L99*1000000</f>
        <v>0</v>
      </c>
      <c r="E40" s="268">
        <f>IF(Bud_Calc=1,Dashboard!N99*1000000,Dashboard!M99*1000000)</f>
        <v>0</v>
      </c>
      <c r="F40" s="284">
        <f>E40*(1+Dashboard!I116)</f>
        <v>0</v>
      </c>
      <c r="G40" s="284">
        <f>F40*(1+Dashboard!J116)</f>
        <v>0</v>
      </c>
      <c r="H40" s="284">
        <f>G40*(1+Dashboard!K116)</f>
        <v>0</v>
      </c>
      <c r="I40" s="284">
        <f>H40*(1+Dashboard!L116)</f>
        <v>0</v>
      </c>
      <c r="J40" s="284">
        <f>I40*(1+Dashboard!M116)</f>
        <v>0</v>
      </c>
      <c r="K40" s="284">
        <f>J40*(1+Dashboard!N116)</f>
        <v>0</v>
      </c>
      <c r="L40" s="263"/>
      <c r="M40" s="269">
        <f t="shared" ref="M40" si="62">IFERROR(C40/B40-1,0)</f>
        <v>0</v>
      </c>
      <c r="N40" s="269">
        <f t="shared" ref="N40" si="63">IFERROR(D40/C40-1,0)</f>
        <v>0</v>
      </c>
      <c r="O40" s="269">
        <f t="shared" ref="O40" si="64">IFERROR(E40/D40-1,0)</f>
        <v>0</v>
      </c>
      <c r="P40" s="269">
        <f t="shared" ref="P40" si="65">IFERROR(F40/E40-1,0)</f>
        <v>0</v>
      </c>
      <c r="Q40" s="269">
        <f t="shared" ref="Q40" si="66">IFERROR(G40/F40-1,0)</f>
        <v>0</v>
      </c>
      <c r="R40" s="269">
        <f t="shared" ref="R40" si="67">IFERROR(H40/G40-1,0)</f>
        <v>0</v>
      </c>
      <c r="S40" s="269">
        <f t="shared" ref="S40" si="68">IFERROR(I40/H40-1,0)</f>
        <v>0</v>
      </c>
      <c r="T40" s="269">
        <f t="shared" ref="T40" si="69">IFERROR(J40/I40-1,0)</f>
        <v>0</v>
      </c>
      <c r="U40" s="269">
        <f t="shared" ref="U40" si="70">IFERROR(K40/J40-1,0)</f>
        <v>0</v>
      </c>
    </row>
    <row r="41" spans="1:21">
      <c r="A41" s="277" t="str">
        <f>Dashboard!H100</f>
        <v xml:space="preserve">   Total Personnel</v>
      </c>
      <c r="B41" s="285">
        <f>SUM(B35:B40)</f>
        <v>3627281.82</v>
      </c>
      <c r="C41" s="285">
        <f t="shared" ref="C41:D41" si="71">SUM(C35:C40)</f>
        <v>3955646.3</v>
      </c>
      <c r="D41" s="285">
        <f t="shared" si="71"/>
        <v>4285861.8599999994</v>
      </c>
      <c r="E41" s="285">
        <f t="shared" ref="E41" si="72">SUM(E35:E40)</f>
        <v>4479732.4715999998</v>
      </c>
      <c r="F41" s="285">
        <f t="shared" ref="F41:K41" si="73">SUM(F35:F40)</f>
        <v>4682704.0758959996</v>
      </c>
      <c r="G41" s="285">
        <f t="shared" si="73"/>
        <v>4895221.4826897597</v>
      </c>
      <c r="H41" s="285">
        <f t="shared" si="73"/>
        <v>5117752.1403807458</v>
      </c>
      <c r="I41" s="285">
        <f t="shared" si="73"/>
        <v>5350787.3322823746</v>
      </c>
      <c r="J41" s="285">
        <f t="shared" si="73"/>
        <v>5594843.4382372526</v>
      </c>
      <c r="K41" s="285">
        <f t="shared" si="73"/>
        <v>5850463.2651901403</v>
      </c>
      <c r="L41" s="263"/>
      <c r="M41" s="269">
        <f t="shared" si="44"/>
        <v>9.0526321442539581E-2</v>
      </c>
      <c r="N41" s="269">
        <f t="shared" si="45"/>
        <v>8.347954669253399E-2</v>
      </c>
      <c r="O41" s="269">
        <f t="shared" si="46"/>
        <v>4.523491842081917E-2</v>
      </c>
      <c r="P41" s="269">
        <f t="shared" si="47"/>
        <v>4.5308867344818315E-2</v>
      </c>
      <c r="Q41" s="269">
        <f t="shared" si="48"/>
        <v>4.5383480004146159E-2</v>
      </c>
      <c r="R41" s="269">
        <f t="shared" si="49"/>
        <v>4.5458751657690755E-2</v>
      </c>
      <c r="S41" s="269">
        <f t="shared" si="50"/>
        <v>4.5534677239037258E-2</v>
      </c>
      <c r="T41" s="269">
        <f t="shared" si="51"/>
        <v>4.5611251354064963E-2</v>
      </c>
      <c r="U41" s="269">
        <f t="shared" si="52"/>
        <v>4.5688468278823668E-2</v>
      </c>
    </row>
    <row r="42" spans="1:21">
      <c r="A42" s="277" t="str">
        <f>Dashboard!H101</f>
        <v>Contracted Police Services</v>
      </c>
      <c r="B42" s="267">
        <f>Dashboard!J101*1000000</f>
        <v>3432163</v>
      </c>
      <c r="C42" s="267">
        <f>Dashboard!K101*1000000</f>
        <v>3472459</v>
      </c>
      <c r="D42" s="267">
        <f>Dashboard!L101*1000000</f>
        <v>3782680</v>
      </c>
      <c r="E42" s="268">
        <f>IF(Bud_Calc=1,Dashboard!N101*1000000,Dashboard!M101*1000000)</f>
        <v>3933987.2</v>
      </c>
      <c r="F42" s="284">
        <f>E42*(1+Dashboard!I117)</f>
        <v>4091346.6880000005</v>
      </c>
      <c r="G42" s="284">
        <f>F42*(1+Dashboard!J117)</f>
        <v>4255000.5555200009</v>
      </c>
      <c r="H42" s="284">
        <f>G42*(1+Dashboard!K117)</f>
        <v>4425200.5777408015</v>
      </c>
      <c r="I42" s="284">
        <f>H42*(1+Dashboard!L117)</f>
        <v>4602208.600850434</v>
      </c>
      <c r="J42" s="284">
        <f>I42*(1+Dashboard!M117)</f>
        <v>4786296.9448844511</v>
      </c>
      <c r="K42" s="284">
        <f>J42*(1+Dashboard!N117)</f>
        <v>4977748.8226798298</v>
      </c>
      <c r="L42" s="263"/>
      <c r="M42" s="269">
        <f t="shared" ref="M42" si="74">IFERROR(C42/B42-1,0)</f>
        <v>1.1740701126374153E-2</v>
      </c>
      <c r="N42" s="269">
        <f t="shared" ref="N42" si="75">IFERROR(D42/C42-1,0)</f>
        <v>8.9337555893388432E-2</v>
      </c>
      <c r="O42" s="269">
        <f t="shared" ref="O42" si="76">IFERROR(E42/D42-1,0)</f>
        <v>4.0000000000000036E-2</v>
      </c>
      <c r="P42" s="269">
        <f t="shared" ref="P42" si="77">IFERROR(F42/E42-1,0)</f>
        <v>4.0000000000000036E-2</v>
      </c>
      <c r="Q42" s="269">
        <f t="shared" ref="Q42" si="78">IFERROR(G42/F42-1,0)</f>
        <v>4.0000000000000036E-2</v>
      </c>
      <c r="R42" s="269">
        <f t="shared" ref="R42" si="79">IFERROR(H42/G42-1,0)</f>
        <v>4.0000000000000036E-2</v>
      </c>
      <c r="S42" s="269">
        <f t="shared" ref="S42" si="80">IFERROR(I42/H42-1,0)</f>
        <v>4.0000000000000036E-2</v>
      </c>
      <c r="T42" s="269">
        <f t="shared" ref="T42" si="81">IFERROR(J42/I42-1,0)</f>
        <v>4.0000000000000036E-2</v>
      </c>
      <c r="U42" s="269">
        <f t="shared" ref="U42" si="82">IFERROR(K42/J42-1,0)</f>
        <v>4.0000000000000036E-2</v>
      </c>
    </row>
    <row r="43" spans="1:21">
      <c r="A43" s="277" t="str">
        <f>Dashboard!H102</f>
        <v>Non-Personnel Operations</v>
      </c>
      <c r="B43" s="267">
        <f>Dashboard!J102*1000000</f>
        <v>4530610.9999999991</v>
      </c>
      <c r="C43" s="267">
        <f>Dashboard!K102*1000000</f>
        <v>3982113.9999999995</v>
      </c>
      <c r="D43" s="267">
        <f>Dashboard!L102*1000000</f>
        <v>3945865.9999999995</v>
      </c>
      <c r="E43" s="268">
        <f>IF(Bud_Calc=1,Dashboard!N102*1000000,Dashboard!M102*1000000)</f>
        <v>4064241.9799999995</v>
      </c>
      <c r="F43" s="284">
        <f>E43*(1+Dashboard!I118)</f>
        <v>4186169.2393999994</v>
      </c>
      <c r="G43" s="284">
        <f>F43*(1+Dashboard!J118)</f>
        <v>4311754.3165819999</v>
      </c>
      <c r="H43" s="284">
        <f>G43*(1+Dashboard!K118)</f>
        <v>4441106.94607946</v>
      </c>
      <c r="I43" s="284">
        <f>H43*(1+Dashboard!L118)</f>
        <v>4574340.1544618439</v>
      </c>
      <c r="J43" s="284">
        <f>I43*(1+Dashboard!M118)</f>
        <v>4711570.3590956992</v>
      </c>
      <c r="K43" s="284">
        <f>J43*(1+Dashboard!N118)</f>
        <v>4852917.4698685706</v>
      </c>
      <c r="L43" s="263"/>
      <c r="M43" s="269">
        <f t="shared" si="44"/>
        <v>-0.12106468641867507</v>
      </c>
      <c r="N43" s="269">
        <f t="shared" si="45"/>
        <v>-9.1027027352807988E-3</v>
      </c>
      <c r="O43" s="269">
        <f t="shared" si="46"/>
        <v>3.0000000000000027E-2</v>
      </c>
      <c r="P43" s="269">
        <f t="shared" si="47"/>
        <v>3.0000000000000027E-2</v>
      </c>
      <c r="Q43" s="269">
        <f t="shared" si="48"/>
        <v>3.0000000000000027E-2</v>
      </c>
      <c r="R43" s="269">
        <f t="shared" si="49"/>
        <v>3.0000000000000027E-2</v>
      </c>
      <c r="S43" s="269">
        <f t="shared" si="50"/>
        <v>3.0000000000000027E-2</v>
      </c>
      <c r="T43" s="269">
        <f t="shared" si="51"/>
        <v>3.0000000000000027E-2</v>
      </c>
      <c r="U43" s="269">
        <f t="shared" si="52"/>
        <v>3.0000000000000027E-2</v>
      </c>
    </row>
    <row r="44" spans="1:21">
      <c r="A44" s="277" t="str">
        <f>Dashboard!H103</f>
        <v>Debt Service/Tfrs-Debt Svc</v>
      </c>
      <c r="B44" s="267">
        <f>Dashboard!J103*1000000</f>
        <v>0</v>
      </c>
      <c r="C44" s="267">
        <f>Dashboard!K103*1000000</f>
        <v>0</v>
      </c>
      <c r="D44" s="267">
        <f>Dashboard!L103*1000000</f>
        <v>0</v>
      </c>
      <c r="E44" s="280">
        <f>IF(Debt_Growth_Option=0,D44*(1+Dashboard!H$119),SUM(Dashboard!G$144:G$148)*1000000)</f>
        <v>239400</v>
      </c>
      <c r="F44" s="280">
        <f>IF(Debt_Growth_Option=0,E44*(1+Dashboard!I$119),SUM(Dashboard!H$144:H$148)*1000000)</f>
        <v>239400</v>
      </c>
      <c r="G44" s="280">
        <f>IF(Debt_Growth_Option=0,F44*(1+Dashboard!J$119),SUM(Dashboard!I$144:I$148)*1000000)</f>
        <v>239400</v>
      </c>
      <c r="H44" s="280">
        <f>IF(Debt_Growth_Option=0,G44*(1+Dashboard!K$119),SUM(Dashboard!J$144:J$148)*1000000)</f>
        <v>239400</v>
      </c>
      <c r="I44" s="280">
        <f>IF(Debt_Growth_Option=0,H44*(1+Dashboard!L$119),SUM(Dashboard!K$144:K$148)*1000000)</f>
        <v>239400</v>
      </c>
      <c r="J44" s="280">
        <f>IF(Debt_Growth_Option=0,I44*(1+Dashboard!M$119),SUM(Dashboard!L$144:L$148)*1000000)</f>
        <v>239400</v>
      </c>
      <c r="K44" s="280">
        <f>IF(Debt_Growth_Option=0,J44*(1+Dashboard!N$119),SUM(Dashboard!M$144:M$148)*1000000)</f>
        <v>239400</v>
      </c>
      <c r="L44" s="263"/>
      <c r="M44" s="269">
        <f t="shared" si="44"/>
        <v>0</v>
      </c>
      <c r="N44" s="269">
        <f t="shared" si="45"/>
        <v>0</v>
      </c>
      <c r="O44" s="269">
        <f t="shared" si="46"/>
        <v>0</v>
      </c>
      <c r="P44" s="269">
        <f t="shared" si="47"/>
        <v>0</v>
      </c>
      <c r="Q44" s="269">
        <f t="shared" si="48"/>
        <v>0</v>
      </c>
      <c r="R44" s="269">
        <f t="shared" si="49"/>
        <v>0</v>
      </c>
      <c r="S44" s="269">
        <f t="shared" si="50"/>
        <v>0</v>
      </c>
      <c r="T44" s="269">
        <f t="shared" si="51"/>
        <v>0</v>
      </c>
      <c r="U44" s="269">
        <f t="shared" si="52"/>
        <v>0</v>
      </c>
    </row>
    <row r="45" spans="1:21">
      <c r="A45" s="277" t="str">
        <f>Dashboard!H104</f>
        <v>Capital/Tfrs to Cap Projs</v>
      </c>
      <c r="B45" s="267">
        <f>Dashboard!J104*1000000</f>
        <v>651527</v>
      </c>
      <c r="C45" s="267">
        <f>Dashboard!K104*1000000</f>
        <v>2623605</v>
      </c>
      <c r="D45" s="267">
        <f>Dashboard!L104*1000000</f>
        <v>1595997</v>
      </c>
      <c r="E45" s="280">
        <f>IF(Capital_Growth_Option=0,D45*(1+Dashboard!H$120),SUM(Dashboard!G$153:G$157)*1000000)</f>
        <v>820050</v>
      </c>
      <c r="F45" s="280">
        <f>IF(Capital_Growth_Option=0,E45*(1+Dashboard!I$120),SUM(Dashboard!H$153:H$157)*1000000)</f>
        <v>922642.79999999993</v>
      </c>
      <c r="G45" s="280">
        <f>IF(Capital_Growth_Option=0,F45*(1+Dashboard!J$120),SUM(Dashboard!I$153:I$157)*1000000)</f>
        <v>1216094.456</v>
      </c>
      <c r="H45" s="280">
        <f>IF(Capital_Growth_Option=0,G45*(1+Dashboard!K$120),SUM(Dashboard!J$153:J$157)*1000000)</f>
        <v>1189151.35512</v>
      </c>
      <c r="I45" s="280">
        <f>IF(Capital_Growth_Option=0,H45*(1+Dashboard!L$120),SUM(Dashboard!K$153:K$157)*1000000)</f>
        <v>1214453.2285224001</v>
      </c>
      <c r="J45" s="280">
        <f>IF(Capital_Growth_Option=0,I45*(1+Dashboard!M$120),SUM(Dashboard!L$153:L$157)*1000000)</f>
        <v>1240387.950781848</v>
      </c>
      <c r="K45" s="280">
        <f>IF(Capital_Growth_Option=0,J45*(1+Dashboard!N$120),SUM(Dashboard!M$153:M$157)*1000000)</f>
        <v>1266971.9832171549</v>
      </c>
      <c r="L45" s="263"/>
      <c r="M45" s="269">
        <f t="shared" si="44"/>
        <v>3.0268553720720703</v>
      </c>
      <c r="N45" s="269">
        <f t="shared" si="45"/>
        <v>-0.39167786309295793</v>
      </c>
      <c r="O45" s="269">
        <f t="shared" si="46"/>
        <v>-0.48618324470534724</v>
      </c>
      <c r="P45" s="269">
        <f t="shared" si="47"/>
        <v>0.12510554234497895</v>
      </c>
      <c r="Q45" s="269">
        <f t="shared" si="48"/>
        <v>0.3180555421881579</v>
      </c>
      <c r="R45" s="269">
        <f t="shared" si="49"/>
        <v>-2.2155434347280734E-2</v>
      </c>
      <c r="S45" s="269">
        <f t="shared" si="50"/>
        <v>2.1277252297161819E-2</v>
      </c>
      <c r="T45" s="269">
        <f t="shared" si="51"/>
        <v>2.1355060574051121E-2</v>
      </c>
      <c r="U45" s="269">
        <f t="shared" si="52"/>
        <v>2.1432030534116464E-2</v>
      </c>
    </row>
    <row r="46" spans="1:21">
      <c r="A46" s="277" t="str">
        <f>Dashboard!H105</f>
        <v>Transfers Out to Other Funds</v>
      </c>
      <c r="B46" s="267">
        <f>Dashboard!J105*1000000</f>
        <v>0</v>
      </c>
      <c r="C46" s="267">
        <f>Dashboard!K105*1000000</f>
        <v>0</v>
      </c>
      <c r="D46" s="267">
        <f>Dashboard!L105*1000000</f>
        <v>0</v>
      </c>
      <c r="E46" s="280">
        <f>IF(Other_Transfers_Growth_Option=0,D46*(1+Dashboard!H$121),SUM(Dashboard!G$162:G$168)*1000000)</f>
        <v>0</v>
      </c>
      <c r="F46" s="280">
        <f>IF(Other_Transfers_Growth_Option=0,E46*(1+Dashboard!I$121),SUM(Dashboard!H$162:H$168)*1000000)</f>
        <v>0</v>
      </c>
      <c r="G46" s="280">
        <f>IF(Other_Transfers_Growth_Option=0,F46*(1+Dashboard!J$121),SUM(Dashboard!I$162:I$168)*1000000)</f>
        <v>0</v>
      </c>
      <c r="H46" s="280">
        <f>IF(Other_Transfers_Growth_Option=0,G46*(1+Dashboard!K$121),SUM(Dashboard!J$162:J$168)*1000000)</f>
        <v>0</v>
      </c>
      <c r="I46" s="280">
        <f>IF(Other_Transfers_Growth_Option=0,H46*(1+Dashboard!L$121),SUM(Dashboard!K$162:K$168)*1000000)</f>
        <v>0</v>
      </c>
      <c r="J46" s="280">
        <f>IF(Other_Transfers_Growth_Option=0,I46*(1+Dashboard!M$121),SUM(Dashboard!L$162:L$168)*1000000)</f>
        <v>0</v>
      </c>
      <c r="K46" s="280">
        <f>IF(Other_Transfers_Growth_Option=0,J46*(1+Dashboard!N$121),SUM(Dashboard!M$162:M$168)*1000000)</f>
        <v>0</v>
      </c>
      <c r="L46" s="263"/>
      <c r="M46" s="269">
        <f t="shared" ref="M46" si="83">IFERROR(C46/B46-1,0)</f>
        <v>0</v>
      </c>
      <c r="N46" s="269">
        <f t="shared" ref="N46" si="84">IFERROR(D46/C46-1,0)</f>
        <v>0</v>
      </c>
      <c r="O46" s="269">
        <f t="shared" ref="O46" si="85">IFERROR(E46/D46-1,0)</f>
        <v>0</v>
      </c>
      <c r="P46" s="269">
        <f t="shared" ref="P46" si="86">IFERROR(F46/E46-1,0)</f>
        <v>0</v>
      </c>
      <c r="Q46" s="269">
        <f t="shared" ref="Q46" si="87">IFERROR(G46/F46-1,0)</f>
        <v>0</v>
      </c>
      <c r="R46" s="269">
        <f t="shared" ref="R46" si="88">IFERROR(H46/G46-1,0)</f>
        <v>0</v>
      </c>
      <c r="S46" s="269">
        <f t="shared" ref="S46" si="89">IFERROR(I46/H46-1,0)</f>
        <v>0</v>
      </c>
      <c r="T46" s="269">
        <f t="shared" ref="T46" si="90">IFERROR(J46/I46-1,0)</f>
        <v>0</v>
      </c>
      <c r="U46" s="269">
        <f t="shared" ref="U46" si="91">IFERROR(K46/J46-1,0)</f>
        <v>0</v>
      </c>
    </row>
    <row r="47" spans="1:21">
      <c r="A47" s="286" t="s">
        <v>170</v>
      </c>
      <c r="B47" s="287">
        <v>0</v>
      </c>
      <c r="C47" s="287">
        <v>0</v>
      </c>
      <c r="D47" s="288">
        <f>(C47-Dashboard!E183*1000000)*(1+Inflation)+IF(Dashboard!E215=Budget_Reduction_FY,-Budget_Cut_Amount*1000000,0)+Dashboard!F183*1000000</f>
        <v>-1099000</v>
      </c>
      <c r="E47" s="288">
        <f>(D47-Dashboard!F183*1000000)*(1+Inflation)+IF(Dashboard!F215=Budget_Reduction_FY,-Budget_Cut_Amount*Cut_No_Recession*1000000,0)+Dashboard!G183*1000000</f>
        <v>-300000</v>
      </c>
      <c r="F47" s="288">
        <f>(E47-Dashboard!G183*1000000)*(1+Inflation)+IF(Dashboard!G215=Budget_Reduction_FY,-Budget_Cut_Amount*Cut_No_Recession*1000000,0)+Dashboard!H$183*1000000</f>
        <v>-300000</v>
      </c>
      <c r="G47" s="288">
        <f>(F47-Dashboard!H183*1000000)*(1+Inflation)+IF(Dashboard!H215=Budget_Reduction_FY,-Budget_Cut_Amount*Cut_No_Recession*1000000,0)+Dashboard!I$183*1000000</f>
        <v>-300000</v>
      </c>
      <c r="H47" s="288">
        <f>(G47-Dashboard!I183*1000000)*(1+Inflation)+IF(Dashboard!I215=Budget_Reduction_FY,-Budget_Cut_Amount*Cut_No_Recession*1000000,0)+Dashboard!J$183*1000000</f>
        <v>-300000</v>
      </c>
      <c r="I47" s="288">
        <f>(H47-Dashboard!J183*1000000)*(1+Inflation)+IF(Dashboard!J215=Budget_Reduction_FY,-Budget_Cut_Amount*Cut_No_Recession*1000000,0)+Dashboard!K$183*1000000</f>
        <v>-300000</v>
      </c>
      <c r="J47" s="288">
        <f>(I47-Dashboard!K183*1000000)*(1+Inflation)+IF(Dashboard!K215=Budget_Reduction_FY,-Budget_Cut_Amount*Cut_No_Recession*1000000,0)+Dashboard!L$183*1000000</f>
        <v>-300000</v>
      </c>
      <c r="K47" s="288">
        <f>(J47-Dashboard!L183*1000000)*(1+Inflation)+IF(Dashboard!L215=Budget_Reduction_FY,-Budget_Cut_Amount*Cut_No_Recession*1000000,0)+Dashboard!M$183*1000000</f>
        <v>-300000</v>
      </c>
      <c r="L47" s="263"/>
      <c r="M47" s="269">
        <f t="shared" ref="M47:M48" si="92">IFERROR(C47/B47-1,0)</f>
        <v>0</v>
      </c>
      <c r="N47" s="269">
        <f t="shared" ref="N47:N48" si="93">IFERROR(D47/C47-1,0)</f>
        <v>0</v>
      </c>
      <c r="O47" s="269">
        <f t="shared" ref="O47:O48" si="94">IFERROR(E47/D47-1,0)</f>
        <v>-0.72702456778889901</v>
      </c>
      <c r="P47" s="269">
        <f t="shared" ref="P47:P48" si="95">IFERROR(F47/E47-1,0)</f>
        <v>0</v>
      </c>
      <c r="Q47" s="269">
        <f t="shared" ref="Q47:Q48" si="96">IFERROR(G47/F47-1,0)</f>
        <v>0</v>
      </c>
      <c r="R47" s="269">
        <f t="shared" ref="R47:R48" si="97">IFERROR(H47/G47-1,0)</f>
        <v>0</v>
      </c>
      <c r="S47" s="269">
        <f t="shared" ref="S47:S48" si="98">IFERROR(I47/H47-1,0)</f>
        <v>0</v>
      </c>
      <c r="T47" s="269">
        <f t="shared" ref="T47:T48" si="99">IFERROR(J47/I47-1,0)</f>
        <v>0</v>
      </c>
      <c r="U47" s="269">
        <f t="shared" ref="U47:U48" si="100">IFERROR(K47/J47-1,0)</f>
        <v>0</v>
      </c>
    </row>
    <row r="48" spans="1:21">
      <c r="A48" s="286" t="s">
        <v>171</v>
      </c>
      <c r="B48" s="287">
        <v>0</v>
      </c>
      <c r="C48" s="287">
        <v>0</v>
      </c>
      <c r="D48" s="289">
        <f>(C48-Dashboard!E182*1000000)*(1+Inflation)+IF(Dashboard!E215=Budget_Increase_FY,Budget_Increase_Amount*1000000,0)+Dashboard!F182*1000000+FY20_Add_only*1000000</f>
        <v>0</v>
      </c>
      <c r="E48" s="289">
        <f>(D48-Dashboard!F182*1000000-FY20_Add_only*1000000)*(1+Inflation)+IF(Dashboard!F215=Budget_Increase_FY,Budget_Increase_Amount*1000000,0)+Dashboard!G182*1000000+FY21_Add_only*1000000</f>
        <v>0</v>
      </c>
      <c r="F48" s="289">
        <f>(E48-Dashboard!G182*1000000-FY21_Add_only*1000000)*(1+Inflation)+IF(Dashboard!G215=Budget_Increase_FY,Budget_Increase_Amount*1000000,0)+Dashboard!H$182*1000000</f>
        <v>0</v>
      </c>
      <c r="G48" s="288">
        <f>(F48-Dashboard!H182*1000000)*(1+Inflation)+IF(Dashboard!H215=Budget_Increase_FY,Budget_Increase_Amount*1000000,0)+Dashboard!I$182*1000000</f>
        <v>0</v>
      </c>
      <c r="H48" s="288">
        <f>(G48-Dashboard!I182*1000000)*(1+Inflation)+IF(Dashboard!I215=Budget_Increase_FY,Budget_Increase_Amount*1000000,0)+Dashboard!J$182*1000000</f>
        <v>0</v>
      </c>
      <c r="I48" s="288">
        <f>(H48-Dashboard!J182*1000000)*(1+Inflation)+IF(Dashboard!J215=Budget_Increase_FY,Budget_Increase_Amount*1000000,0)+Dashboard!K$182*1000000</f>
        <v>0</v>
      </c>
      <c r="J48" s="288">
        <f>(I48-Dashboard!K182*1000000)*(1+Inflation)+IF(Dashboard!K215=Budget_Increase_FY,Budget_Increase_Amount*1000000,0)+Dashboard!L$182*1000000</f>
        <v>0</v>
      </c>
      <c r="K48" s="288">
        <f>(J48-Dashboard!L182*1000000)*(1+Inflation)+IF(Dashboard!L215=Budget_Increase_FY,Budget_Increase_Amount*1000000,0)+Dashboard!M$182*1000000</f>
        <v>0</v>
      </c>
      <c r="L48" s="263"/>
      <c r="M48" s="269">
        <f t="shared" si="92"/>
        <v>0</v>
      </c>
      <c r="N48" s="269">
        <f t="shared" si="93"/>
        <v>0</v>
      </c>
      <c r="O48" s="269">
        <f t="shared" si="94"/>
        <v>0</v>
      </c>
      <c r="P48" s="269">
        <f t="shared" si="95"/>
        <v>0</v>
      </c>
      <c r="Q48" s="269">
        <f t="shared" si="96"/>
        <v>0</v>
      </c>
      <c r="R48" s="269">
        <f t="shared" si="97"/>
        <v>0</v>
      </c>
      <c r="S48" s="269">
        <f t="shared" si="98"/>
        <v>0</v>
      </c>
      <c r="T48" s="269">
        <f t="shared" si="99"/>
        <v>0</v>
      </c>
      <c r="U48" s="269">
        <f t="shared" si="100"/>
        <v>0</v>
      </c>
    </row>
    <row r="49" spans="1:21">
      <c r="A49" s="277" t="s">
        <v>407</v>
      </c>
      <c r="B49" s="267"/>
      <c r="C49" s="267"/>
      <c r="D49" s="267">
        <f t="shared" ref="D49:K49" si="101">-SUM(D41:D48)*Exp_Savings</f>
        <v>-125114.04859999999</v>
      </c>
      <c r="E49" s="280">
        <f t="shared" si="101"/>
        <v>-132374.11651600001</v>
      </c>
      <c r="F49" s="280">
        <f t="shared" si="101"/>
        <v>-138222.62803296</v>
      </c>
      <c r="G49" s="280">
        <f t="shared" si="101"/>
        <v>-146174.7081079176</v>
      </c>
      <c r="H49" s="280">
        <f t="shared" si="101"/>
        <v>-151126.11019321007</v>
      </c>
      <c r="I49" s="280">
        <f t="shared" si="101"/>
        <v>-156811.89316117053</v>
      </c>
      <c r="J49" s="280">
        <f t="shared" si="101"/>
        <v>-162724.9869299925</v>
      </c>
      <c r="K49" s="280">
        <f t="shared" si="101"/>
        <v>-168875.01540955697</v>
      </c>
      <c r="L49" s="263"/>
      <c r="M49" s="269">
        <f t="shared" ref="M49" si="102">IFERROR(C49/B49-1,0)</f>
        <v>0</v>
      </c>
      <c r="N49" s="269">
        <f t="shared" ref="N49" si="103">IFERROR(D49/C49-1,0)</f>
        <v>0</v>
      </c>
      <c r="O49" s="269">
        <f t="shared" ref="O49" si="104">IFERROR(E49/D49-1,0)</f>
        <v>5.802759959603776E-2</v>
      </c>
      <c r="P49" s="269">
        <f t="shared" ref="P49" si="105">IFERROR(F49/E49-1,0)</f>
        <v>4.4181684991665859E-2</v>
      </c>
      <c r="Q49" s="269">
        <f t="shared" ref="Q49" si="106">IFERROR(G49/F49-1,0)</f>
        <v>5.7530957037377206E-2</v>
      </c>
      <c r="R49" s="269">
        <f t="shared" ref="R49" si="107">IFERROR(H49/G49-1,0)</f>
        <v>3.3873179220833105E-2</v>
      </c>
      <c r="S49" s="269">
        <f t="shared" ref="S49" si="108">IFERROR(I49/H49-1,0)</f>
        <v>3.7622770550312934E-2</v>
      </c>
      <c r="T49" s="269">
        <f t="shared" ref="T49" si="109">IFERROR(J49/I49-1,0)</f>
        <v>3.7708197060949411E-2</v>
      </c>
      <c r="U49" s="269">
        <f t="shared" ref="U49" si="110">IFERROR(K49/J49-1,0)</f>
        <v>3.7794001988215475E-2</v>
      </c>
    </row>
    <row r="50" spans="1:21" ht="15" thickBot="1">
      <c r="A50" s="264" t="s">
        <v>43</v>
      </c>
      <c r="B50" s="272">
        <f>SUM(B41:B48)</f>
        <v>12241582.82</v>
      </c>
      <c r="C50" s="272">
        <f t="shared" ref="C50" si="111">SUM(C41:C48)</f>
        <v>14033824.299999999</v>
      </c>
      <c r="D50" s="272">
        <f>SUM(D41:D49)</f>
        <v>12386290.8114</v>
      </c>
      <c r="E50" s="272">
        <f t="shared" ref="E50:K50" si="112">SUM(E41:E49)</f>
        <v>13105037.535084</v>
      </c>
      <c r="F50" s="272">
        <f t="shared" si="112"/>
        <v>13684040.17526304</v>
      </c>
      <c r="G50" s="272">
        <f t="shared" si="112"/>
        <v>14471296.102683842</v>
      </c>
      <c r="H50" s="272">
        <f t="shared" si="112"/>
        <v>14961484.909127796</v>
      </c>
      <c r="I50" s="272">
        <f t="shared" si="112"/>
        <v>15524377.422955882</v>
      </c>
      <c r="J50" s="272">
        <f t="shared" si="112"/>
        <v>16109773.706069259</v>
      </c>
      <c r="K50" s="272">
        <f t="shared" si="112"/>
        <v>16718626.525546139</v>
      </c>
      <c r="L50" s="263"/>
      <c r="M50" s="273">
        <f t="shared" si="44"/>
        <v>0.14640602496859123</v>
      </c>
      <c r="N50" s="273">
        <f t="shared" si="45"/>
        <v>-0.117397329008886</v>
      </c>
      <c r="O50" s="273">
        <f t="shared" si="46"/>
        <v>5.802759959603776E-2</v>
      </c>
      <c r="P50" s="273">
        <f t="shared" si="47"/>
        <v>4.4181684991665859E-2</v>
      </c>
      <c r="Q50" s="273">
        <f t="shared" si="48"/>
        <v>5.7530957037377206E-2</v>
      </c>
      <c r="R50" s="273">
        <f t="shared" si="49"/>
        <v>3.3873179220833105E-2</v>
      </c>
      <c r="S50" s="273">
        <f t="shared" si="50"/>
        <v>3.7622770550312934E-2</v>
      </c>
      <c r="T50" s="273">
        <f t="shared" si="51"/>
        <v>3.7708197060949633E-2</v>
      </c>
      <c r="U50" s="273">
        <f t="shared" si="52"/>
        <v>3.7794001988215253E-2</v>
      </c>
    </row>
    <row r="51" spans="1:21" ht="15" thickTop="1">
      <c r="A51" s="264" t="s">
        <v>25</v>
      </c>
      <c r="B51" s="274"/>
      <c r="C51" s="274">
        <f t="shared" ref="C51:K51" si="113">C50/B50-1</f>
        <v>0.14640602496859123</v>
      </c>
      <c r="D51" s="274">
        <f t="shared" si="113"/>
        <v>-0.117397329008886</v>
      </c>
      <c r="E51" s="274">
        <f t="shared" si="113"/>
        <v>5.802759959603776E-2</v>
      </c>
      <c r="F51" s="274">
        <f t="shared" si="113"/>
        <v>4.4181684991665859E-2</v>
      </c>
      <c r="G51" s="274">
        <f t="shared" si="113"/>
        <v>5.7530957037377206E-2</v>
      </c>
      <c r="H51" s="274">
        <f t="shared" si="113"/>
        <v>3.3873179220833105E-2</v>
      </c>
      <c r="I51" s="274">
        <f t="shared" si="113"/>
        <v>3.7622770550312934E-2</v>
      </c>
      <c r="J51" s="274">
        <f t="shared" si="113"/>
        <v>3.7708197060949633E-2</v>
      </c>
      <c r="K51" s="274">
        <f t="shared" si="113"/>
        <v>3.7794001988215253E-2</v>
      </c>
      <c r="L51" s="263"/>
      <c r="M51" s="264"/>
      <c r="N51" s="264"/>
      <c r="O51" s="264"/>
      <c r="P51" s="264"/>
      <c r="Q51" s="264"/>
      <c r="R51" s="264"/>
      <c r="S51" s="264"/>
      <c r="T51" s="264"/>
      <c r="U51" s="264"/>
    </row>
    <row r="52" spans="1:21">
      <c r="A52" s="264"/>
      <c r="B52" s="263"/>
      <c r="C52" s="263"/>
      <c r="D52" s="263"/>
      <c r="E52" s="263"/>
      <c r="F52" s="263"/>
      <c r="G52" s="263"/>
      <c r="H52" s="263"/>
      <c r="I52" s="263"/>
      <c r="J52" s="263"/>
      <c r="K52" s="263"/>
      <c r="L52" s="263"/>
      <c r="M52" s="264"/>
      <c r="N52" s="264"/>
      <c r="O52" s="264"/>
      <c r="P52" s="264"/>
      <c r="Q52" s="264"/>
      <c r="R52" s="264"/>
      <c r="S52" s="264"/>
      <c r="T52" s="264"/>
      <c r="U52" s="264"/>
    </row>
    <row r="53" spans="1:21">
      <c r="A53" s="264" t="s">
        <v>19</v>
      </c>
      <c r="B53" s="263">
        <f t="shared" ref="B53:K53" si="114">B23-B50</f>
        <v>1229307.1799999997</v>
      </c>
      <c r="C53" s="263">
        <f t="shared" si="114"/>
        <v>-922807.29999999888</v>
      </c>
      <c r="D53" s="263">
        <f t="shared" si="114"/>
        <v>1263446.1886</v>
      </c>
      <c r="E53" s="263">
        <f t="shared" si="114"/>
        <v>523208.10868799873</v>
      </c>
      <c r="F53" s="263">
        <f t="shared" si="114"/>
        <v>170324.7752827201</v>
      </c>
      <c r="G53" s="263">
        <f t="shared" si="114"/>
        <v>-392690.22903442942</v>
      </c>
      <c r="H53" s="263">
        <f t="shared" si="114"/>
        <v>-664595.64565493353</v>
      </c>
      <c r="I53" s="263">
        <f t="shared" si="114"/>
        <v>-1009213.2226711158</v>
      </c>
      <c r="J53" s="263">
        <f t="shared" si="114"/>
        <v>-1377666.879364118</v>
      </c>
      <c r="K53" s="263">
        <f t="shared" si="114"/>
        <v>-1771252.125951536</v>
      </c>
      <c r="L53" s="263"/>
      <c r="M53" s="264"/>
      <c r="N53" s="264"/>
      <c r="O53" s="264"/>
      <c r="P53" s="264"/>
      <c r="Q53" s="264"/>
      <c r="R53" s="264"/>
      <c r="S53" s="264"/>
      <c r="T53" s="264"/>
      <c r="U53" s="264"/>
    </row>
    <row r="54" spans="1:21">
      <c r="A54" s="264" t="s">
        <v>22</v>
      </c>
      <c r="B54" s="263">
        <f>Dashboard!C93*1000000</f>
        <v>3705843</v>
      </c>
      <c r="C54" s="263">
        <f t="shared" ref="C54:K54" si="115">B56</f>
        <v>4422808</v>
      </c>
      <c r="D54" s="263">
        <f t="shared" si="115"/>
        <v>3500000</v>
      </c>
      <c r="E54" s="263">
        <f t="shared" si="115"/>
        <v>4763446.1886</v>
      </c>
      <c r="F54" s="263">
        <f t="shared" si="115"/>
        <v>5286654.2972879987</v>
      </c>
      <c r="G54" s="263">
        <f t="shared" si="115"/>
        <v>5456979.0725707188</v>
      </c>
      <c r="H54" s="263">
        <f t="shared" si="115"/>
        <v>5064288.8435362894</v>
      </c>
      <c r="I54" s="263">
        <f t="shared" si="115"/>
        <v>4399693.1978813559</v>
      </c>
      <c r="J54" s="263">
        <f t="shared" si="115"/>
        <v>3390479.9752102401</v>
      </c>
      <c r="K54" s="263">
        <f t="shared" si="115"/>
        <v>2012813.0958461221</v>
      </c>
      <c r="L54" s="263"/>
      <c r="M54" s="264"/>
      <c r="N54" s="264"/>
      <c r="O54" s="264"/>
      <c r="P54" s="264"/>
      <c r="Q54" s="264"/>
      <c r="R54" s="264"/>
      <c r="S54" s="264"/>
      <c r="T54" s="264"/>
      <c r="U54" s="264"/>
    </row>
    <row r="55" spans="1:21">
      <c r="A55" s="264" t="s">
        <v>104</v>
      </c>
      <c r="B55" s="263">
        <f>B56-B54-B53</f>
        <v>-512342.1799999997</v>
      </c>
      <c r="C55" s="263">
        <f>C56-C54-C53</f>
        <v>-0.70000000111758709</v>
      </c>
      <c r="D55" s="263">
        <v>0</v>
      </c>
      <c r="E55" s="263">
        <v>0</v>
      </c>
      <c r="F55" s="263">
        <v>0</v>
      </c>
      <c r="G55" s="263">
        <v>0</v>
      </c>
      <c r="H55" s="263">
        <v>0</v>
      </c>
      <c r="I55" s="263">
        <v>0</v>
      </c>
      <c r="J55" s="263">
        <v>0</v>
      </c>
      <c r="K55" s="263">
        <v>0</v>
      </c>
      <c r="L55" s="263"/>
      <c r="M55" s="264"/>
      <c r="N55" s="264"/>
      <c r="O55" s="264"/>
      <c r="P55" s="264"/>
      <c r="Q55" s="264"/>
      <c r="R55" s="264"/>
      <c r="S55" s="264"/>
      <c r="T55" s="264"/>
      <c r="U55" s="264"/>
    </row>
    <row r="56" spans="1:21" ht="15" thickBot="1">
      <c r="A56" s="282" t="s">
        <v>21</v>
      </c>
      <c r="B56" s="290">
        <f>Dashboard!D93*1000000</f>
        <v>4422808</v>
      </c>
      <c r="C56" s="290">
        <f>Dashboard!E93*1000000</f>
        <v>3500000</v>
      </c>
      <c r="D56" s="290">
        <f>D53+D54</f>
        <v>4763446.1886</v>
      </c>
      <c r="E56" s="290">
        <f>E53+E54+E55</f>
        <v>5286654.2972879987</v>
      </c>
      <c r="F56" s="290">
        <f t="shared" ref="F56:K56" si="116">F53+F54+F55</f>
        <v>5456979.0725707188</v>
      </c>
      <c r="G56" s="290">
        <f t="shared" si="116"/>
        <v>5064288.8435362894</v>
      </c>
      <c r="H56" s="290">
        <f t="shared" si="116"/>
        <v>4399693.1978813559</v>
      </c>
      <c r="I56" s="290">
        <f t="shared" si="116"/>
        <v>3390479.9752102401</v>
      </c>
      <c r="J56" s="290">
        <f t="shared" si="116"/>
        <v>2012813.0958461221</v>
      </c>
      <c r="K56" s="290">
        <f t="shared" si="116"/>
        <v>241560.96989458613</v>
      </c>
      <c r="L56" s="263"/>
      <c r="M56" s="264"/>
      <c r="N56" s="264"/>
      <c r="O56" s="264"/>
      <c r="P56" s="264"/>
      <c r="Q56" s="264"/>
      <c r="R56" s="264"/>
      <c r="S56" s="264"/>
      <c r="T56" s="264"/>
      <c r="U56" s="264"/>
    </row>
    <row r="57" spans="1:21" ht="15" thickTop="1">
      <c r="A57" s="264" t="s">
        <v>23</v>
      </c>
      <c r="B57" s="291">
        <f t="shared" ref="B57:K57" si="117">B56/B50</f>
        <v>0.3612938020379296</v>
      </c>
      <c r="C57" s="291">
        <f t="shared" si="117"/>
        <v>0.24939745041556494</v>
      </c>
      <c r="D57" s="291">
        <f t="shared" si="117"/>
        <v>0.38457406346505735</v>
      </c>
      <c r="E57" s="291">
        <f t="shared" si="117"/>
        <v>0.4034062690118127</v>
      </c>
      <c r="F57" s="291">
        <f t="shared" si="117"/>
        <v>0.39878420427582695</v>
      </c>
      <c r="G57" s="291">
        <f t="shared" si="117"/>
        <v>0.34995406130879098</v>
      </c>
      <c r="H57" s="291">
        <f t="shared" si="117"/>
        <v>0.29406795011350534</v>
      </c>
      <c r="I57" s="291">
        <f t="shared" si="117"/>
        <v>0.2183971622718178</v>
      </c>
      <c r="J57" s="291">
        <f t="shared" si="117"/>
        <v>0.12494359837517811</v>
      </c>
      <c r="K57" s="291">
        <f t="shared" si="117"/>
        <v>1.44486133191312E-2</v>
      </c>
      <c r="L57" s="263"/>
      <c r="M57" s="264"/>
      <c r="N57" s="264"/>
      <c r="O57" s="264"/>
      <c r="P57" s="264"/>
      <c r="Q57" s="264"/>
      <c r="R57" s="264"/>
      <c r="S57" s="264"/>
      <c r="T57" s="264"/>
      <c r="U57" s="264"/>
    </row>
    <row r="58" spans="1:21">
      <c r="B58" s="609"/>
      <c r="C58" s="609"/>
      <c r="D58" s="23"/>
    </row>
  </sheetData>
  <sheetProtection algorithmName="SHA-512" hashValue="XGNY5I4sB4fe/1GgqTR0Ypkl2yq7pzQjhxNCjm1tncJF03UQGeHU7TeKrh7C5A18o6x+6fCsaOLal6JIvSs8Ew==" saltValue="K4h6MZf1PrWTp7V+DUNqEA==" spinCount="100000" sheet="1" objects="1" scenarios="1" selectLockedCells="1" selectUnlockedCells="1"/>
  <mergeCells count="1">
    <mergeCell ref="B58:C58"/>
  </mergeCells>
  <phoneticPr fontId="5" type="noConversion"/>
  <pageMargins left="0.75" right="0.7" top="0.7" bottom="0.5" header="0.35" footer="0.25"/>
  <pageSetup scale="65" orientation="landscape" horizontalDpi="0" verticalDpi="0" r:id="rId1"/>
  <headerFooter>
    <oddHeader>&amp;C&amp;"-,Bold"&amp;14MANAGEMENT PARTNERS' COVID-19 FISCAL DIAGNOSTIC TOOL</oddHeader>
    <oddFooter>&amp;L&amp;12Management Partners&amp;R&amp;12&amp;D-&amp;T</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66FFFF"/>
    <pageSetUpPr fitToPage="1"/>
  </sheetPr>
  <dimension ref="A1:X196"/>
  <sheetViews>
    <sheetView workbookViewId="0">
      <pane xSplit="1" ySplit="2" topLeftCell="B3" activePane="bottomRight" state="frozen"/>
      <selection pane="topRight" activeCell="B1" sqref="B1"/>
      <selection pane="bottomLeft" activeCell="A3" sqref="A3"/>
      <selection pane="bottomRight" activeCell="B8" sqref="B8"/>
    </sheetView>
  </sheetViews>
  <sheetFormatPr defaultRowHeight="14.4"/>
  <cols>
    <col min="1" max="1" width="26.6640625" customWidth="1"/>
    <col min="2" max="11" width="13.6640625" customWidth="1"/>
    <col min="12" max="12" width="7.88671875" customWidth="1"/>
    <col min="13" max="21" width="10.6640625" customWidth="1"/>
    <col min="22" max="28" width="13.6640625" customWidth="1"/>
  </cols>
  <sheetData>
    <row r="1" spans="1:23" ht="15.6">
      <c r="A1" s="261" t="str">
        <f>IF(Dashboard!B90="","YOUR CITY",UPPER(Dashboard!B90))</f>
        <v>KENMORE, WA</v>
      </c>
      <c r="B1" s="610"/>
      <c r="C1" s="610"/>
      <c r="D1" s="610"/>
      <c r="E1" s="610"/>
      <c r="F1" s="610"/>
      <c r="G1" s="610"/>
      <c r="H1" s="610"/>
      <c r="I1" s="610"/>
      <c r="J1" s="610"/>
      <c r="K1" s="610"/>
      <c r="L1" s="264"/>
      <c r="M1" s="264"/>
      <c r="N1" s="264"/>
      <c r="O1" s="264"/>
      <c r="P1" s="264"/>
      <c r="Q1" s="264"/>
      <c r="R1" s="264"/>
      <c r="S1" s="264"/>
      <c r="T1" s="264"/>
      <c r="U1" s="264"/>
    </row>
    <row r="2" spans="1:23" ht="15.6">
      <c r="A2" s="261" t="s">
        <v>140</v>
      </c>
      <c r="B2" s="265" t="s">
        <v>367</v>
      </c>
      <c r="C2" s="265" t="s">
        <v>368</v>
      </c>
      <c r="D2" s="265" t="s">
        <v>361</v>
      </c>
      <c r="E2" s="265" t="s">
        <v>362</v>
      </c>
      <c r="F2" s="265" t="s">
        <v>363</v>
      </c>
      <c r="G2" s="265" t="s">
        <v>364</v>
      </c>
      <c r="H2" s="265" t="s">
        <v>365</v>
      </c>
      <c r="I2" s="265" t="s">
        <v>366</v>
      </c>
      <c r="J2" s="265" t="s">
        <v>370</v>
      </c>
      <c r="K2" s="265" t="s">
        <v>371</v>
      </c>
      <c r="L2" s="264"/>
      <c r="M2" s="266">
        <v>19</v>
      </c>
      <c r="N2" s="266">
        <f>M2+1</f>
        <v>20</v>
      </c>
      <c r="O2" s="266">
        <f t="shared" ref="O2:U2" si="0">N2+1</f>
        <v>21</v>
      </c>
      <c r="P2" s="266">
        <f t="shared" si="0"/>
        <v>22</v>
      </c>
      <c r="Q2" s="266">
        <f t="shared" si="0"/>
        <v>23</v>
      </c>
      <c r="R2" s="266">
        <f t="shared" si="0"/>
        <v>24</v>
      </c>
      <c r="S2" s="266">
        <f t="shared" si="0"/>
        <v>25</v>
      </c>
      <c r="T2" s="266">
        <f t="shared" si="0"/>
        <v>26</v>
      </c>
      <c r="U2" s="266">
        <f t="shared" si="0"/>
        <v>27</v>
      </c>
      <c r="W2" s="3"/>
    </row>
    <row r="3" spans="1:23">
      <c r="A3" s="264" t="str">
        <f>+'Data Worksheet'!A7</f>
        <v>Property Tax</v>
      </c>
      <c r="B3" s="292">
        <f>'No Recession Forecast'!B3</f>
        <v>4823386</v>
      </c>
      <c r="C3" s="292">
        <f>'No Recession Forecast'!C3</f>
        <v>5050864</v>
      </c>
      <c r="D3" s="271">
        <f>'No Recession Forecast'!D3*(1+Dashboard!H25)</f>
        <v>5304000</v>
      </c>
      <c r="E3" s="271">
        <f>'No Recession Forecast'!E3*(1+Dashboard!I25)</f>
        <v>5347490.1479999991</v>
      </c>
      <c r="F3" s="271">
        <f>'No Recession Forecast'!F3*(1+Dashboard!J25)</f>
        <v>5420598.8927999986</v>
      </c>
      <c r="G3" s="271">
        <f>'No Recession Forecast'!G3*(1+Dashboard!K25)</f>
        <v>5524092.9885959979</v>
      </c>
      <c r="H3" s="271">
        <f>'No Recession Forecast'!H3*(1+Dashboard!L25)</f>
        <v>5629472.2725149971</v>
      </c>
      <c r="I3" s="271">
        <f>'No Recession Forecast'!I3*(1+Dashboard!M25)</f>
        <v>5713914.3566027218</v>
      </c>
      <c r="J3" s="263">
        <f>'No Recession Forecast'!J3</f>
        <v>5799623.0719517618</v>
      </c>
      <c r="K3" s="263">
        <f>'No Recession Forecast'!K3</f>
        <v>5886617.4180310378</v>
      </c>
      <c r="L3" s="263"/>
      <c r="M3" s="269">
        <f t="shared" ref="M3:M21" si="1">IFERROR(C3/B3-1,0)</f>
        <v>4.716147536191384E-2</v>
      </c>
      <c r="N3" s="269">
        <f t="shared" ref="N3:N21" si="2">IFERROR(D3/C3-1,0)</f>
        <v>5.0117366058559432E-2</v>
      </c>
      <c r="O3" s="269">
        <f t="shared" ref="O3:S21" si="3">IFERROR(E3/D3-1,0)</f>
        <v>8.1994999999999152E-3</v>
      </c>
      <c r="P3" s="269">
        <f t="shared" si="3"/>
        <v>1.367159971811116E-2</v>
      </c>
      <c r="Q3" s="269">
        <f t="shared" si="3"/>
        <v>1.9092741935483826E-2</v>
      </c>
      <c r="R3" s="269">
        <f t="shared" si="3"/>
        <v>1.9076305220883327E-2</v>
      </c>
      <c r="S3" s="269">
        <f t="shared" si="3"/>
        <v>1.4999999999999902E-2</v>
      </c>
      <c r="T3" s="293">
        <f>IF('No Recession Forecast'!T$2&lt;='No Recession Forecast'!$P$2+Recovery_years,Dashboard!$L25,0)+'No Recession Forecast'!T3</f>
        <v>1.4999999999999902E-2</v>
      </c>
      <c r="U3" s="293">
        <f>IF('No Recession Forecast'!U$2&lt;='No Recession Forecast'!$P$2+Recovery_years,Dashboard!$L25,0)+'No Recession Forecast'!U3</f>
        <v>1.4999999999999902E-2</v>
      </c>
    </row>
    <row r="4" spans="1:23">
      <c r="A4" s="264" t="str">
        <f>+'Data Worksheet'!A8</f>
        <v>Sales Tax</v>
      </c>
      <c r="B4" s="292">
        <f>'No Recession Forecast'!B4</f>
        <v>3116754</v>
      </c>
      <c r="C4" s="292">
        <f>'No Recession Forecast'!C4</f>
        <v>3493528</v>
      </c>
      <c r="D4" s="271">
        <f>'No Recession Forecast'!D4*(1+Dashboard!H26)</f>
        <v>2878400</v>
      </c>
      <c r="E4" s="271">
        <f>'No Recession Forecast'!E4*(1+Dashboard!I26)</f>
        <v>2845568.25</v>
      </c>
      <c r="F4" s="271">
        <f>'No Recession Forecast'!F4*(1+Dashboard!J26)</f>
        <v>3309404.42</v>
      </c>
      <c r="G4" s="271">
        <f>'No Recession Forecast'!G4*(1+Dashboard!K26)</f>
        <v>3517474.4213</v>
      </c>
      <c r="H4" s="271">
        <f>'No Recession Forecast'!H4*(1+Dashboard!L26)</f>
        <v>3735050.1587</v>
      </c>
      <c r="I4" s="271">
        <f>'No Recession Forecast'!I4*(1+Dashboard!M26)</f>
        <v>3847101.6634610002</v>
      </c>
      <c r="J4" s="263">
        <f>'No Recession Forecast'!J4</f>
        <v>3962514.7133648302</v>
      </c>
      <c r="K4" s="263">
        <f>'No Recession Forecast'!K4</f>
        <v>4081390.1547657754</v>
      </c>
      <c r="L4" s="263"/>
      <c r="M4" s="269">
        <f t="shared" si="1"/>
        <v>0.12088666606347509</v>
      </c>
      <c r="N4" s="269">
        <f t="shared" si="2"/>
        <v>-0.17607644764833719</v>
      </c>
      <c r="O4" s="269">
        <f t="shared" si="3"/>
        <v>-1.1406249999999951E-2</v>
      </c>
      <c r="P4" s="269">
        <f t="shared" si="3"/>
        <v>0.16300300300300297</v>
      </c>
      <c r="Q4" s="269">
        <f t="shared" si="3"/>
        <v>6.2872340425532025E-2</v>
      </c>
      <c r="R4" s="269">
        <f t="shared" si="3"/>
        <v>6.1855670103092786E-2</v>
      </c>
      <c r="S4" s="269">
        <f t="shared" si="3"/>
        <v>3.0000000000000027E-2</v>
      </c>
      <c r="T4" s="293">
        <f>IF('No Recession Forecast'!T$2&lt;='No Recession Forecast'!$P$2+Recovery_years,Dashboard!$L26,0)+'No Recession Forecast'!T4</f>
        <v>3.0000000000000027E-2</v>
      </c>
      <c r="U4" s="293">
        <f>IF('No Recession Forecast'!U$2&lt;='No Recession Forecast'!$P$2+Recovery_years,Dashboard!$L26,0)+'No Recession Forecast'!U4</f>
        <v>3.0000000000000027E-2</v>
      </c>
    </row>
    <row r="5" spans="1:23">
      <c r="A5" s="264" t="str">
        <f>+'Data Worksheet'!A9</f>
        <v>Local Sales Tax</v>
      </c>
      <c r="B5" s="292">
        <f>'No Recession Forecast'!B5</f>
        <v>0</v>
      </c>
      <c r="C5" s="292">
        <f>'No Recession Forecast'!C5</f>
        <v>0</v>
      </c>
      <c r="D5" s="271">
        <f>'No Recession Forecast'!D5*(1+Dashboard!H27)</f>
        <v>0</v>
      </c>
      <c r="E5" s="271">
        <f>'No Recession Forecast'!E5*(1+Dashboard!I27)</f>
        <v>0</v>
      </c>
      <c r="F5" s="271">
        <f>'No Recession Forecast'!F5*(1+Dashboard!J27)</f>
        <v>0</v>
      </c>
      <c r="G5" s="271">
        <f>'No Recession Forecast'!G5*(1+Dashboard!K27)</f>
        <v>0</v>
      </c>
      <c r="H5" s="271">
        <f>'No Recession Forecast'!H5*(1+Dashboard!L27)</f>
        <v>0</v>
      </c>
      <c r="I5" s="271">
        <f>'No Recession Forecast'!I5*(1+Dashboard!M27)</f>
        <v>0</v>
      </c>
      <c r="J5" s="263">
        <f>'No Recession Forecast'!J5</f>
        <v>0</v>
      </c>
      <c r="K5" s="263">
        <f>'No Recession Forecast'!K5</f>
        <v>0</v>
      </c>
      <c r="L5" s="263"/>
      <c r="M5" s="269">
        <f t="shared" ref="M5" si="4">IFERROR(C5/B5-1,0)</f>
        <v>0</v>
      </c>
      <c r="N5" s="269">
        <f t="shared" ref="N5" si="5">IFERROR(D5/C5-1,0)</f>
        <v>0</v>
      </c>
      <c r="O5" s="269">
        <f t="shared" ref="O5" si="6">IFERROR(E5/D5-1,0)</f>
        <v>0</v>
      </c>
      <c r="P5" s="269">
        <f t="shared" ref="P5" si="7">IFERROR(F5/E5-1,0)</f>
        <v>0</v>
      </c>
      <c r="Q5" s="269">
        <f t="shared" ref="Q5" si="8">IFERROR(G5/F5-1,0)</f>
        <v>0</v>
      </c>
      <c r="R5" s="269">
        <f t="shared" ref="R5" si="9">IFERROR(H5/G5-1,0)</f>
        <v>0</v>
      </c>
      <c r="S5" s="269">
        <f t="shared" ref="S5" si="10">IFERROR(I5/H5-1,0)</f>
        <v>0</v>
      </c>
      <c r="T5" s="293">
        <f>IF('No Recession Forecast'!T$2&lt;='No Recession Forecast'!$P$2+Recovery_years,Dashboard!$L27,0)+'No Recession Forecast'!T5</f>
        <v>0</v>
      </c>
      <c r="U5" s="293">
        <f>IF('No Recession Forecast'!U$2&lt;='No Recession Forecast'!$P$2+Recovery_years,Dashboard!$L27,0)+'No Recession Forecast'!U5</f>
        <v>0</v>
      </c>
    </row>
    <row r="6" spans="1:23">
      <c r="A6" s="264" t="str">
        <f>+'Data Worksheet'!A10</f>
        <v>Utility Tax</v>
      </c>
      <c r="B6" s="292">
        <f>'No Recession Forecast'!B6</f>
        <v>1133510</v>
      </c>
      <c r="C6" s="292">
        <f>'No Recession Forecast'!C6</f>
        <v>1029975.0000000001</v>
      </c>
      <c r="D6" s="271">
        <f>'No Recession Forecast'!D6*(1+Dashboard!H26)</f>
        <v>991484</v>
      </c>
      <c r="E6" s="271">
        <f>'No Recession Forecast'!E6*(1+Dashboard!I26)</f>
        <v>1052398.29825</v>
      </c>
      <c r="F6" s="271">
        <f>'No Recession Forecast'!F6*(1+Dashboard!J26)</f>
        <v>1212059.44548</v>
      </c>
      <c r="G6" s="271">
        <f>'No Recession Forecast'!G6*(1+Dashboard!K26)</f>
        <v>1275757.0376148</v>
      </c>
      <c r="H6" s="271">
        <f>'No Recession Forecast'!H6*(1+Dashboard!L26)</f>
        <v>1341517.7096568001</v>
      </c>
      <c r="I6" s="271">
        <f>'No Recession Forecast'!I6*(1+Dashboard!M26)</f>
        <v>1368348.0638499362</v>
      </c>
      <c r="J6" s="263">
        <f>'No Recession Forecast'!J6</f>
        <v>1395715.025126935</v>
      </c>
      <c r="K6" s="263">
        <f>'No Recession Forecast'!K6</f>
        <v>1423629.3256294737</v>
      </c>
      <c r="L6" s="263"/>
      <c r="M6" s="269">
        <f t="shared" si="1"/>
        <v>-9.1340173443551387E-2</v>
      </c>
      <c r="N6" s="269">
        <f t="shared" si="2"/>
        <v>-3.7370809971115859E-2</v>
      </c>
      <c r="O6" s="269">
        <f t="shared" si="3"/>
        <v>6.1437500000000034E-2</v>
      </c>
      <c r="P6" s="269">
        <f t="shared" si="3"/>
        <v>0.15171171171171172</v>
      </c>
      <c r="Q6" s="269">
        <f t="shared" si="3"/>
        <v>5.2553191489361772E-2</v>
      </c>
      <c r="R6" s="269">
        <f t="shared" si="3"/>
        <v>5.1546391752577359E-2</v>
      </c>
      <c r="S6" s="269">
        <f t="shared" si="3"/>
        <v>2.0000000000000018E-2</v>
      </c>
      <c r="T6" s="293">
        <f>IF('No Recession Forecast'!T6=0,0,IF('No Recession Forecast'!T$2&lt;='No Recession Forecast'!$P$2+Recovery_years,Dashboard!$L26,0)+'No Recession Forecast'!T6)</f>
        <v>2.0000000000000018E-2</v>
      </c>
      <c r="U6" s="293">
        <f>IF('No Recession Forecast'!U6=0,0,IF('No Recession Forecast'!U$2&lt;='No Recession Forecast'!$P$2+Recovery_years,Dashboard!$L26,0)+'No Recession Forecast'!U6)</f>
        <v>2.0000000000000018E-2</v>
      </c>
    </row>
    <row r="7" spans="1:23">
      <c r="A7" s="264" t="str">
        <f>+'Data Worksheet'!A11</f>
        <v>B&amp;O Tax</v>
      </c>
      <c r="B7" s="292">
        <f>'No Recession Forecast'!B7</f>
        <v>24156</v>
      </c>
      <c r="C7" s="292">
        <f>'No Recession Forecast'!C7</f>
        <v>21073</v>
      </c>
      <c r="D7" s="271">
        <f>'No Recession Forecast'!D7*(1+Dashboard!H27)</f>
        <v>14575.5</v>
      </c>
      <c r="E7" s="271">
        <f>'No Recession Forecast'!E7*(1+Dashboard!I27)</f>
        <v>16664.169150000002</v>
      </c>
      <c r="F7" s="271">
        <f>'No Recession Forecast'!F7*(1+Dashboard!J27)</f>
        <v>19380.478764</v>
      </c>
      <c r="G7" s="271">
        <f>'No Recession Forecast'!G7*(1+Dashboard!K27)</f>
        <v>20598.974822460001</v>
      </c>
      <c r="H7" s="271">
        <f>'No Recession Forecast'!H7*(1+Dashboard!L27)</f>
        <v>21873.138213540002</v>
      </c>
      <c r="I7" s="271">
        <f>'No Recession Forecast'!I7*(1+Dashboard!M27)</f>
        <v>22529.332359946202</v>
      </c>
      <c r="J7" s="263">
        <f>'No Recession Forecast'!J7</f>
        <v>23205.212330744587</v>
      </c>
      <c r="K7" s="263">
        <f>'No Recession Forecast'!K7</f>
        <v>23901.368700666924</v>
      </c>
      <c r="L7" s="263"/>
      <c r="M7" s="269">
        <f t="shared" si="1"/>
        <v>-0.12762874648120548</v>
      </c>
      <c r="N7" s="269">
        <f t="shared" si="2"/>
        <v>-0.30833293788259863</v>
      </c>
      <c r="O7" s="269">
        <f t="shared" si="3"/>
        <v>0.1433000000000002</v>
      </c>
      <c r="P7" s="269">
        <f t="shared" si="3"/>
        <v>0.16300300300300297</v>
      </c>
      <c r="Q7" s="269">
        <f t="shared" si="3"/>
        <v>6.2872340425532025E-2</v>
      </c>
      <c r="R7" s="269">
        <f t="shared" si="3"/>
        <v>6.1855670103092786E-2</v>
      </c>
      <c r="S7" s="269">
        <f t="shared" si="3"/>
        <v>3.0000000000000027E-2</v>
      </c>
      <c r="T7" s="293">
        <f>IF('No Recession Forecast'!T$2&lt;='No Recession Forecast'!$P$2+Recovery_years,Dashboard!$L27,0)+'No Recession Forecast'!T7</f>
        <v>3.0000000000000027E-2</v>
      </c>
      <c r="U7" s="293">
        <f>IF('No Recession Forecast'!U$2&lt;='No Recession Forecast'!$P$2+Recovery_years,Dashboard!$L27,0)+'No Recession Forecast'!U7</f>
        <v>3.0000000000000027E-2</v>
      </c>
    </row>
    <row r="8" spans="1:23">
      <c r="A8" s="264" t="str">
        <f>+'Data Worksheet'!A12</f>
        <v>Gambling Tax</v>
      </c>
      <c r="B8" s="292">
        <f>'No Recession Forecast'!B8</f>
        <v>81794.999999999985</v>
      </c>
      <c r="C8" s="292">
        <f>'No Recession Forecast'!C8</f>
        <v>102438</v>
      </c>
      <c r="D8" s="271">
        <f>'No Recession Forecast'!D8*(1+Dashboard!H28)</f>
        <v>68400</v>
      </c>
      <c r="E8" s="271">
        <f>'No Recession Forecast'!E8*(1+Dashboard!I28)</f>
        <v>67847.760000000009</v>
      </c>
      <c r="F8" s="271">
        <f>'No Recession Forecast'!F8*(1+Dashboard!J28)</f>
        <v>70509.311999999991</v>
      </c>
      <c r="G8" s="271">
        <f>'No Recession Forecast'!G8*(1+Dashboard!K28)</f>
        <v>72698.038559999986</v>
      </c>
      <c r="H8" s="271">
        <f>'No Recession Forecast'!H8*(1+Dashboard!L28)</f>
        <v>74923.488719999994</v>
      </c>
      <c r="I8" s="271">
        <f>'No Recession Forecast'!I8*(1+Dashboard!M28)</f>
        <v>75672.723607199994</v>
      </c>
      <c r="J8" s="263">
        <f>'No Recession Forecast'!J8</f>
        <v>76429.450843271989</v>
      </c>
      <c r="K8" s="263">
        <f>'No Recession Forecast'!K8</f>
        <v>77193.745351704711</v>
      </c>
      <c r="L8" s="263"/>
      <c r="M8" s="269">
        <f t="shared" si="1"/>
        <v>0.25237483953786932</v>
      </c>
      <c r="N8" s="269">
        <f t="shared" si="2"/>
        <v>-0.33227903707608508</v>
      </c>
      <c r="O8" s="269">
        <f t="shared" si="3"/>
        <v>-8.073684210526233E-3</v>
      </c>
      <c r="P8" s="269">
        <f t="shared" si="3"/>
        <v>3.9228295819935477E-2</v>
      </c>
      <c r="Q8" s="269">
        <f t="shared" si="3"/>
        <v>3.1041666666666634E-2</v>
      </c>
      <c r="R8" s="269">
        <f t="shared" si="3"/>
        <v>3.0612244897959329E-2</v>
      </c>
      <c r="S8" s="269">
        <f t="shared" si="3"/>
        <v>1.0000000000000009E-2</v>
      </c>
      <c r="T8" s="293">
        <f>IF('No Recession Forecast'!T$2&lt;='No Recession Forecast'!$P$2+Recovery_years,Dashboard!$L28,0)+'No Recession Forecast'!T8</f>
        <v>1.0000000000000009E-2</v>
      </c>
      <c r="U8" s="293">
        <f>IF('No Recession Forecast'!U$2&lt;='No Recession Forecast'!$P$2+Recovery_years,Dashboard!$L28,0)+'No Recession Forecast'!U8</f>
        <v>1.0000000000000009E-2</v>
      </c>
    </row>
    <row r="9" spans="1:23">
      <c r="A9" s="264" t="str">
        <f>+'Data Worksheet'!A13</f>
        <v>Telecom Franchise Fees</v>
      </c>
      <c r="B9" s="292">
        <f>'No Recession Forecast'!B9</f>
        <v>321541</v>
      </c>
      <c r="C9" s="292">
        <f>'No Recession Forecast'!C9</f>
        <v>319856</v>
      </c>
      <c r="D9" s="267">
        <f>'No Recession Forecast'!D9*IF(TOTloss=0,(1+Dashboard!H29),(1+TOTloss))</f>
        <v>297825</v>
      </c>
      <c r="E9" s="267">
        <f>'No Recession Forecast'!E9*IF(TOTloss=0,(1+Dashboard!I29),(1+TOTloss))</f>
        <v>286645.59000000003</v>
      </c>
      <c r="F9" s="267">
        <f>'No Recession Forecast'!F9*IF(TOTloss=0,(1+Dashboard!J29),(1+TOTloss))</f>
        <v>289041.984</v>
      </c>
      <c r="G9" s="267">
        <f>'No Recession Forecast'!G9*IF(TOTloss=0,(1+Dashboard!K29),(1+TOTloss))</f>
        <v>289162.41816000006</v>
      </c>
      <c r="H9" s="267">
        <f>'No Recession Forecast'!H9*IF(TOTloss=0,(1+Dashboard!L29),(1+TOTloss))</f>
        <v>289162.41816000006</v>
      </c>
      <c r="I9" s="267">
        <f>'No Recession Forecast'!I9*IF(TOTloss=0,(1+Dashboard!M29),(1+TOTloss))</f>
        <v>283379.16979680007</v>
      </c>
      <c r="J9" s="263">
        <f>'No Recession Forecast'!J9</f>
        <v>277711.58640086406</v>
      </c>
      <c r="K9" s="263">
        <f>'No Recession Forecast'!K9</f>
        <v>272157.35467284679</v>
      </c>
      <c r="L9" s="263"/>
      <c r="M9" s="269">
        <f t="shared" si="1"/>
        <v>-5.2403892505155092E-3</v>
      </c>
      <c r="N9" s="269">
        <f t="shared" si="2"/>
        <v>-6.8877870041518685E-2</v>
      </c>
      <c r="O9" s="269">
        <f t="shared" si="3"/>
        <v>-3.7536842105263091E-2</v>
      </c>
      <c r="P9" s="269">
        <f t="shared" si="3"/>
        <v>8.3601286173633493E-3</v>
      </c>
      <c r="Q9" s="269">
        <f t="shared" si="3"/>
        <v>4.1666666666695384E-4</v>
      </c>
      <c r="R9" s="269">
        <f t="shared" si="3"/>
        <v>0</v>
      </c>
      <c r="S9" s="269">
        <f t="shared" si="3"/>
        <v>-2.0000000000000018E-2</v>
      </c>
      <c r="T9" s="293">
        <f>IF('No Recession Forecast'!T$2&lt;='No Recession Forecast'!$P$2+Recovery_years,Dashboard!$L29,0)+'No Recession Forecast'!T9</f>
        <v>-2.0000000000000018E-2</v>
      </c>
      <c r="U9" s="293">
        <f>IF('No Recession Forecast'!U$2&lt;='No Recession Forecast'!$P$2+Recovery_years,Dashboard!$L29,0)+'No Recession Forecast'!U9</f>
        <v>-2.0000000000000018E-2</v>
      </c>
    </row>
    <row r="10" spans="1:23">
      <c r="A10" s="264" t="str">
        <f>+'Data Worksheet'!A14</f>
        <v>Water/Sewer Franchise Fees</v>
      </c>
      <c r="B10" s="292">
        <f>'No Recession Forecast'!B10</f>
        <v>548186</v>
      </c>
      <c r="C10" s="292">
        <f>'No Recession Forecast'!C10</f>
        <v>555016</v>
      </c>
      <c r="D10" s="271">
        <f>'No Recession Forecast'!D10*(1+Dashboard!H30)</f>
        <v>582980</v>
      </c>
      <c r="E10" s="271">
        <f>'No Recession Forecast'!E10*(1+Dashboard!I30)</f>
        <v>574719.17339999997</v>
      </c>
      <c r="F10" s="271">
        <f>'No Recession Forecast'!F10*(1+Dashboard!J30)</f>
        <v>594401.74416</v>
      </c>
      <c r="G10" s="271">
        <f>'No Recession Forecast'!G10*(1+Dashboard!K30)</f>
        <v>612476.40944159997</v>
      </c>
      <c r="H10" s="271">
        <f>'No Recession Forecast'!H10*(1+Dashboard!L30)</f>
        <v>631036.30063680001</v>
      </c>
      <c r="I10" s="271">
        <f>'No Recession Forecast'!I10*(1+Dashboard!M30)</f>
        <v>643657.02664953598</v>
      </c>
      <c r="J10" s="263">
        <f>'No Recession Forecast'!J10</f>
        <v>656530.16718252667</v>
      </c>
      <c r="K10" s="263">
        <f>'No Recession Forecast'!K10</f>
        <v>669660.77052617725</v>
      </c>
      <c r="L10" s="263"/>
      <c r="M10" s="269">
        <f t="shared" si="1"/>
        <v>1.2459274771701612E-2</v>
      </c>
      <c r="N10" s="269">
        <f t="shared" si="2"/>
        <v>5.038413307003764E-2</v>
      </c>
      <c r="O10" s="269">
        <f t="shared" si="3"/>
        <v>-1.4170000000000016E-2</v>
      </c>
      <c r="P10" s="269">
        <f t="shared" si="3"/>
        <v>3.4247284014485402E-2</v>
      </c>
      <c r="Q10" s="269">
        <f t="shared" si="3"/>
        <v>3.0408163265306154E-2</v>
      </c>
      <c r="R10" s="269">
        <f t="shared" si="3"/>
        <v>3.0303030303030276E-2</v>
      </c>
      <c r="S10" s="269">
        <f t="shared" si="3"/>
        <v>2.0000000000000018E-2</v>
      </c>
      <c r="T10" s="293">
        <f>IF('No Recession Forecast'!T$2&lt;='No Recession Forecast'!$P$2+Recovery_years,Dashboard!$L30,0)+'No Recession Forecast'!T10</f>
        <v>2.0000000000000018E-2</v>
      </c>
      <c r="U10" s="293">
        <f>IF('No Recession Forecast'!U$2&lt;='No Recession Forecast'!$P$2+Recovery_years,Dashboard!$L30,0)+'No Recession Forecast'!U10</f>
        <v>2.0000000000000018E-2</v>
      </c>
    </row>
    <row r="11" spans="1:23">
      <c r="A11" s="264" t="str">
        <f>+'Data Worksheet'!A15</f>
        <v>Reimbursements</v>
      </c>
      <c r="B11" s="292">
        <f>'No Recession Forecast'!B11</f>
        <v>251613.00000000003</v>
      </c>
      <c r="C11" s="292">
        <f>'No Recession Forecast'!C11</f>
        <v>163136</v>
      </c>
      <c r="D11" s="271">
        <f>'No Recession Forecast'!D11*(1+Dashboard!H31)</f>
        <v>793493</v>
      </c>
      <c r="E11" s="271">
        <f>'No Recession Forecast'!E11*(1+Dashboard!I31)</f>
        <v>793493</v>
      </c>
      <c r="F11" s="271">
        <f>'No Recession Forecast'!F11*(1+Dashboard!J31)</f>
        <v>793493</v>
      </c>
      <c r="G11" s="271">
        <f>'No Recession Forecast'!G11*(1+Dashboard!K31)</f>
        <v>793493</v>
      </c>
      <c r="H11" s="271">
        <f>'No Recession Forecast'!H11*(1+Dashboard!L31)</f>
        <v>793493</v>
      </c>
      <c r="I11" s="271">
        <f>'No Recession Forecast'!I11*(1+Dashboard!M31)</f>
        <v>793493</v>
      </c>
      <c r="J11" s="263">
        <f>'No Recession Forecast'!J11</f>
        <v>793493</v>
      </c>
      <c r="K11" s="263">
        <f>'No Recession Forecast'!K11</f>
        <v>793493</v>
      </c>
      <c r="L11" s="263"/>
      <c r="M11" s="269">
        <f t="shared" ref="M11" si="11">IFERROR(C11/B11-1,0)</f>
        <v>-0.35163922372850376</v>
      </c>
      <c r="N11" s="269">
        <f t="shared" ref="N11" si="12">IFERROR(D11/C11-1,0)</f>
        <v>3.8639969105531584</v>
      </c>
      <c r="O11" s="269">
        <f t="shared" ref="O11" si="13">IFERROR(E11/D11-1,0)</f>
        <v>0</v>
      </c>
      <c r="P11" s="269">
        <f t="shared" ref="P11" si="14">IFERROR(F11/E11-1,0)</f>
        <v>0</v>
      </c>
      <c r="Q11" s="269">
        <f t="shared" ref="Q11" si="15">IFERROR(G11/F11-1,0)</f>
        <v>0</v>
      </c>
      <c r="R11" s="269">
        <f t="shared" ref="R11" si="16">IFERROR(H11/G11-1,0)</f>
        <v>0</v>
      </c>
      <c r="S11" s="269">
        <f t="shared" ref="S11" si="17">IFERROR(I11/H11-1,0)</f>
        <v>0</v>
      </c>
      <c r="T11" s="293">
        <f>IF('No Recession Forecast'!T$2&lt;='No Recession Forecast'!$P$2+Recovery_years,Dashboard!$L31,0)+'No Recession Forecast'!T11</f>
        <v>0</v>
      </c>
      <c r="U11" s="293">
        <f>IF('No Recession Forecast'!U$2&lt;='No Recession Forecast'!$P$2+Recovery_years,Dashboard!$L31,0)+'No Recession Forecast'!U11</f>
        <v>0</v>
      </c>
    </row>
    <row r="12" spans="1:23">
      <c r="A12" s="264" t="str">
        <f>+'Data Worksheet'!A16</f>
        <v>All Other Taxes</v>
      </c>
      <c r="B12" s="292">
        <f>'No Recession Forecast'!B12</f>
        <v>66200.999999999956</v>
      </c>
      <c r="C12" s="292">
        <f>'No Recession Forecast'!C12</f>
        <v>65656.000000000015</v>
      </c>
      <c r="D12" s="271">
        <f>'No Recession Forecast'!D12*(1+Dashboard!H32)</f>
        <v>16170.900000000047</v>
      </c>
      <c r="E12" s="271">
        <f>'No Recession Forecast'!E12*(1+Dashboard!I32)</f>
        <v>16451.76300000005</v>
      </c>
      <c r="F12" s="271">
        <f>'No Recession Forecast'!F12*(1+Dashboard!J32)</f>
        <v>16681.560000000049</v>
      </c>
      <c r="G12" s="271">
        <f>'No Recession Forecast'!G12*(1+Dashboard!K32)</f>
        <v>16851.78000000005</v>
      </c>
      <c r="H12" s="271">
        <f>'No Recession Forecast'!H12*(1+Dashboard!L32)</f>
        <v>17022.000000000051</v>
      </c>
      <c r="I12" s="271">
        <f>'No Recession Forecast'!I12*(1+Dashboard!M32)</f>
        <v>17022.000000000051</v>
      </c>
      <c r="J12" s="263">
        <f>'No Recession Forecast'!J12</f>
        <v>17022.000000000051</v>
      </c>
      <c r="K12" s="263">
        <f>'No Recession Forecast'!K12</f>
        <v>17022.000000000051</v>
      </c>
      <c r="L12" s="263"/>
      <c r="M12" s="269">
        <f t="shared" ref="M12" si="18">IFERROR(C12/B12-1,0)</f>
        <v>-8.2325040407236205E-3</v>
      </c>
      <c r="N12" s="269">
        <f t="shared" ref="N12" si="19">IFERROR(D12/C12-1,0)</f>
        <v>-0.75370263189959719</v>
      </c>
      <c r="O12" s="269">
        <f t="shared" ref="O12" si="20">IFERROR(E12/D12-1,0)</f>
        <v>1.73684210526317E-2</v>
      </c>
      <c r="P12" s="269">
        <f t="shared" ref="P12" si="21">IFERROR(F12/E12-1,0)</f>
        <v>1.3967925504397183E-2</v>
      </c>
      <c r="Q12" s="269">
        <f t="shared" ref="Q12" si="22">IFERROR(G12/F12-1,0)</f>
        <v>1.0204081632653184E-2</v>
      </c>
      <c r="R12" s="269">
        <f t="shared" ref="R12" si="23">IFERROR(H12/G12-1,0)</f>
        <v>1.0101010101010166E-2</v>
      </c>
      <c r="S12" s="269">
        <f t="shared" ref="S12" si="24">IFERROR(I12/H12-1,0)</f>
        <v>0</v>
      </c>
      <c r="T12" s="293">
        <f>IF('No Recession Forecast'!T$2&lt;='No Recession Forecast'!$P$2+Recovery_years,Dashboard!$L32,0)+'No Recession Forecast'!T12</f>
        <v>0</v>
      </c>
      <c r="U12" s="293">
        <f>IF('No Recession Forecast'!U$2&lt;='No Recession Forecast'!$P$2+Recovery_years,Dashboard!$L32,0)+'No Recession Forecast'!U12</f>
        <v>0</v>
      </c>
    </row>
    <row r="13" spans="1:23">
      <c r="A13" s="264" t="str">
        <f>+'Data Worksheet'!A17</f>
        <v>Intergovernmental</v>
      </c>
      <c r="B13" s="292">
        <f>'No Recession Forecast'!B13</f>
        <v>530711</v>
      </c>
      <c r="C13" s="292">
        <f>'No Recession Forecast'!C13</f>
        <v>492437</v>
      </c>
      <c r="D13" s="271">
        <f>'No Recession Forecast'!D13*(1+Dashboard!H33)</f>
        <v>500205.72000000003</v>
      </c>
      <c r="E13" s="271">
        <f>'No Recession Forecast'!E13*(1+Dashboard!I33)</f>
        <v>476216.2620000001</v>
      </c>
      <c r="F13" s="271">
        <f>'No Recession Forecast'!F13*(1+Dashboard!J33)</f>
        <v>489997.44000000006</v>
      </c>
      <c r="G13" s="271">
        <f>'No Recession Forecast'!G13*(1+Dashboard!K33)</f>
        <v>500205.72000000003</v>
      </c>
      <c r="H13" s="271">
        <f>'No Recession Forecast'!H13*(1+Dashboard!L33)</f>
        <v>510414.00000000006</v>
      </c>
      <c r="I13" s="271">
        <f>'No Recession Forecast'!I13*(1+Dashboard!M33)</f>
        <v>510414.00000000006</v>
      </c>
      <c r="J13" s="263">
        <f>'No Recession Forecast'!J13</f>
        <v>510414.00000000006</v>
      </c>
      <c r="K13" s="263">
        <f>'No Recession Forecast'!K13</f>
        <v>510414.00000000006</v>
      </c>
      <c r="L13" s="263"/>
      <c r="M13" s="269">
        <f t="shared" si="1"/>
        <v>-7.2118346896898666E-2</v>
      </c>
      <c r="N13" s="269">
        <f t="shared" si="2"/>
        <v>1.5776068816924838E-2</v>
      </c>
      <c r="O13" s="269">
        <f t="shared" si="3"/>
        <v>-4.7959183673469186E-2</v>
      </c>
      <c r="P13" s="269">
        <f t="shared" si="3"/>
        <v>2.8938906752411508E-2</v>
      </c>
      <c r="Q13" s="269">
        <f t="shared" si="3"/>
        <v>2.0833333333333259E-2</v>
      </c>
      <c r="R13" s="269">
        <f t="shared" si="3"/>
        <v>2.0408163265306145E-2</v>
      </c>
      <c r="S13" s="269">
        <f t="shared" si="3"/>
        <v>0</v>
      </c>
      <c r="T13" s="293">
        <f>IF('No Recession Forecast'!T$2&lt;='No Recession Forecast'!$P$2+Recovery_years,Dashboard!$L33,0)+'No Recession Forecast'!T13</f>
        <v>0</v>
      </c>
      <c r="U13" s="293">
        <f>IF('No Recession Forecast'!U$2&lt;='No Recession Forecast'!$P$2+Recovery_years,Dashboard!$L33,0)+'No Recession Forecast'!U13</f>
        <v>0</v>
      </c>
    </row>
    <row r="14" spans="1:23">
      <c r="A14" s="264" t="str">
        <f>+'Data Worksheet'!A18</f>
        <v>Other Revenue</v>
      </c>
      <c r="B14" s="292">
        <f>'No Recession Forecast'!B14</f>
        <v>30911</v>
      </c>
      <c r="C14" s="292">
        <f>'No Recession Forecast'!C14</f>
        <v>9980</v>
      </c>
      <c r="D14" s="271">
        <f>'No Recession Forecast'!D14*(1+Dashboard!H34)</f>
        <v>9190.8000000000011</v>
      </c>
      <c r="E14" s="271">
        <f>'No Recession Forecast'!E14*(1+Dashboard!I34)</f>
        <v>8843.5920000000006</v>
      </c>
      <c r="F14" s="271">
        <f>'No Recession Forecast'!F14*(1+Dashboard!J34)</f>
        <v>9395.0399999999991</v>
      </c>
      <c r="G14" s="271">
        <f>'No Recession Forecast'!G14*(1+Dashboard!K34)</f>
        <v>9803.52</v>
      </c>
      <c r="H14" s="271">
        <f>'No Recession Forecast'!H14*(1+Dashboard!L34)</f>
        <v>10212</v>
      </c>
      <c r="I14" s="271">
        <f>'No Recession Forecast'!I14*(1+Dashboard!M34)</f>
        <v>10212</v>
      </c>
      <c r="J14" s="263">
        <f>'No Recession Forecast'!J14</f>
        <v>10212</v>
      </c>
      <c r="K14" s="263">
        <f>'No Recession Forecast'!K14</f>
        <v>10212</v>
      </c>
      <c r="L14" s="263"/>
      <c r="M14" s="269">
        <f t="shared" si="1"/>
        <v>-0.67713758856070649</v>
      </c>
      <c r="N14" s="269">
        <f t="shared" si="2"/>
        <v>-7.9078156312625159E-2</v>
      </c>
      <c r="O14" s="269">
        <f t="shared" si="3"/>
        <v>-3.7777777777777799E-2</v>
      </c>
      <c r="P14" s="269">
        <f t="shared" si="3"/>
        <v>6.2355658198614217E-2</v>
      </c>
      <c r="Q14" s="269">
        <f t="shared" si="3"/>
        <v>4.347826086956541E-2</v>
      </c>
      <c r="R14" s="269">
        <f t="shared" si="3"/>
        <v>4.1666666666666519E-2</v>
      </c>
      <c r="S14" s="269">
        <f t="shared" si="3"/>
        <v>0</v>
      </c>
      <c r="T14" s="293">
        <f>IF('No Recession Forecast'!T$2&lt;='No Recession Forecast'!$P$2+Recovery_years,Dashboard!$L34,0)+'No Recession Forecast'!T14</f>
        <v>0</v>
      </c>
      <c r="U14" s="293">
        <f>IF('No Recession Forecast'!U$2&lt;='No Recession Forecast'!$P$2+Recovery_years,Dashboard!$L34,0)+'No Recession Forecast'!U14</f>
        <v>0</v>
      </c>
    </row>
    <row r="15" spans="1:23">
      <c r="A15" s="264" t="str">
        <f>+'Data Worksheet'!A19</f>
        <v>Charges for Services (Other)</v>
      </c>
      <c r="B15" s="292">
        <f>'No Recession Forecast'!B15</f>
        <v>13190.0000000001</v>
      </c>
      <c r="C15" s="292">
        <f>'No Recession Forecast'!C15</f>
        <v>9755.9999999999945</v>
      </c>
      <c r="D15" s="271">
        <f>'No Recession Forecast'!D15*(1+Dashboard!H35)</f>
        <v>11879.200000000052</v>
      </c>
      <c r="E15" s="271">
        <f>'No Recession Forecast'!E15*(1+Dashboard!I35)</f>
        <v>11864.35100000005</v>
      </c>
      <c r="F15" s="271">
        <f>'No Recession Forecast'!F15*(1+Dashboard!J35)</f>
        <v>13067.120000000055</v>
      </c>
      <c r="G15" s="271">
        <f>'No Recession Forecast'!G15*(1+Dashboard!K35)</f>
        <v>13958.06000000006</v>
      </c>
      <c r="H15" s="271">
        <f>'No Recession Forecast'!H15*(1+Dashboard!L35)</f>
        <v>14849.000000000064</v>
      </c>
      <c r="I15" s="271">
        <f>'No Recession Forecast'!I15*(1+Dashboard!M35)</f>
        <v>14849.000000000064</v>
      </c>
      <c r="J15" s="263">
        <f>'No Recession Forecast'!J15</f>
        <v>14849.000000000064</v>
      </c>
      <c r="K15" s="263">
        <f>'No Recession Forecast'!K15</f>
        <v>14849.000000000064</v>
      </c>
      <c r="L15" s="263"/>
      <c r="M15" s="269">
        <f t="shared" si="1"/>
        <v>-0.26034874905231842</v>
      </c>
      <c r="N15" s="269">
        <f t="shared" si="2"/>
        <v>0.21763017630176895</v>
      </c>
      <c r="O15" s="269">
        <f t="shared" si="3"/>
        <v>-1.2500000000001954E-3</v>
      </c>
      <c r="P15" s="269">
        <f t="shared" si="3"/>
        <v>0.10137672090112648</v>
      </c>
      <c r="Q15" s="269">
        <f t="shared" si="3"/>
        <v>6.8181818181818121E-2</v>
      </c>
      <c r="R15" s="269">
        <f t="shared" si="3"/>
        <v>6.3829787234042534E-2</v>
      </c>
      <c r="S15" s="269">
        <f t="shared" si="3"/>
        <v>0</v>
      </c>
      <c r="T15" s="293">
        <f>IF('No Recession Forecast'!T$2&lt;='No Recession Forecast'!$P$2+Recovery_years,Dashboard!$L35,0)+'No Recession Forecast'!T15</f>
        <v>0</v>
      </c>
      <c r="U15" s="293">
        <f>IF('No Recession Forecast'!U$2&lt;='No Recession Forecast'!$P$2+Recovery_years,Dashboard!$L35,0)+'No Recession Forecast'!U15</f>
        <v>0</v>
      </c>
    </row>
    <row r="16" spans="1:23">
      <c r="A16" s="264" t="str">
        <f>+'Data Worksheet'!A20</f>
        <v>Comm Develop/Planning Fees</v>
      </c>
      <c r="B16" s="292">
        <f>'No Recession Forecast'!B16</f>
        <v>1252492</v>
      </c>
      <c r="C16" s="292">
        <f>'No Recession Forecast'!C16</f>
        <v>1000626</v>
      </c>
      <c r="D16" s="271">
        <f>'No Recession Forecast'!D16*(1+Dashboard!H36)</f>
        <v>720702.4</v>
      </c>
      <c r="E16" s="271">
        <f>'No Recession Forecast'!E16*(1+Dashboard!I36)</f>
        <v>719801.522</v>
      </c>
      <c r="F16" s="271">
        <f>'No Recession Forecast'!F16*(1+Dashboard!J36)</f>
        <v>792772.64</v>
      </c>
      <c r="G16" s="271">
        <f>'No Recession Forecast'!G16*(1+Dashboard!K36)</f>
        <v>846825.32</v>
      </c>
      <c r="H16" s="271">
        <f>'No Recession Forecast'!H16*(1+Dashboard!L36)</f>
        <v>900878</v>
      </c>
      <c r="I16" s="271">
        <f>'No Recession Forecast'!I16*(1+Dashboard!M36)</f>
        <v>900878</v>
      </c>
      <c r="J16" s="263">
        <f>'No Recession Forecast'!J16</f>
        <v>900878</v>
      </c>
      <c r="K16" s="263">
        <f>'No Recession Forecast'!K16</f>
        <v>900878</v>
      </c>
      <c r="L16" s="263"/>
      <c r="M16" s="269">
        <f t="shared" si="1"/>
        <v>-0.20109190318181669</v>
      </c>
      <c r="N16" s="269">
        <f t="shared" si="2"/>
        <v>-0.27974847745311437</v>
      </c>
      <c r="O16" s="269">
        <f t="shared" si="3"/>
        <v>-1.2500000000000844E-3</v>
      </c>
      <c r="P16" s="269">
        <f t="shared" si="3"/>
        <v>0.10137672090112648</v>
      </c>
      <c r="Q16" s="269">
        <f t="shared" si="3"/>
        <v>6.8181818181818121E-2</v>
      </c>
      <c r="R16" s="269">
        <f t="shared" si="3"/>
        <v>6.3829787234042534E-2</v>
      </c>
      <c r="S16" s="269">
        <f t="shared" si="3"/>
        <v>0</v>
      </c>
      <c r="T16" s="293">
        <f>IF('No Recession Forecast'!T$2&lt;='No Recession Forecast'!$P$2+Recovery_years,Dashboard!$L36,0)+'No Recession Forecast'!T16</f>
        <v>0</v>
      </c>
      <c r="U16" s="293">
        <f>IF('No Recession Forecast'!U$2&lt;='No Recession Forecast'!$P$2+Recovery_years,Dashboard!$L36,0)+'No Recession Forecast'!U16</f>
        <v>0</v>
      </c>
    </row>
    <row r="17" spans="1:21">
      <c r="A17" s="264" t="str">
        <f>+'Data Worksheet'!A21</f>
        <v>Park &amp; Recreation Fees</v>
      </c>
      <c r="B17" s="292">
        <f>'No Recession Forecast'!B17</f>
        <v>0</v>
      </c>
      <c r="C17" s="292">
        <f>'No Recession Forecast'!C17</f>
        <v>0</v>
      </c>
      <c r="D17" s="271">
        <f>'No Recession Forecast'!D17*(1+Dashboard!H37)</f>
        <v>0</v>
      </c>
      <c r="E17" s="271">
        <f>'No Recession Forecast'!E17*(1+Dashboard!I37)</f>
        <v>0</v>
      </c>
      <c r="F17" s="271">
        <f>'No Recession Forecast'!F17*(1+Dashboard!J37)</f>
        <v>0</v>
      </c>
      <c r="G17" s="271">
        <f>'No Recession Forecast'!G17*(1+Dashboard!K37)</f>
        <v>0</v>
      </c>
      <c r="H17" s="271">
        <f>'No Recession Forecast'!H17*(1+Dashboard!L37)</f>
        <v>0</v>
      </c>
      <c r="I17" s="271">
        <f>'No Recession Forecast'!I17*(1+Dashboard!M37)</f>
        <v>0</v>
      </c>
      <c r="J17" s="263">
        <f>'No Recession Forecast'!J17</f>
        <v>0</v>
      </c>
      <c r="K17" s="263">
        <f>'No Recession Forecast'!K17</f>
        <v>0</v>
      </c>
      <c r="L17" s="263"/>
      <c r="M17" s="269">
        <f t="shared" si="1"/>
        <v>0</v>
      </c>
      <c r="N17" s="269">
        <f t="shared" si="2"/>
        <v>0</v>
      </c>
      <c r="O17" s="269">
        <f t="shared" si="3"/>
        <v>0</v>
      </c>
      <c r="P17" s="269">
        <f t="shared" si="3"/>
        <v>0</v>
      </c>
      <c r="Q17" s="269">
        <f t="shared" si="3"/>
        <v>0</v>
      </c>
      <c r="R17" s="269">
        <f t="shared" si="3"/>
        <v>0</v>
      </c>
      <c r="S17" s="269">
        <f t="shared" si="3"/>
        <v>0</v>
      </c>
      <c r="T17" s="293">
        <f>IF('No Recession Forecast'!T$2&lt;='No Recession Forecast'!$P$2+Recovery_years,Dashboard!$L37,0)+'No Recession Forecast'!T17</f>
        <v>0</v>
      </c>
      <c r="U17" s="293">
        <f>IF('No Recession Forecast'!U$2&lt;='No Recession Forecast'!$P$2+Recovery_years,Dashboard!$L37,0)+'No Recession Forecast'!U17</f>
        <v>0</v>
      </c>
    </row>
    <row r="18" spans="1:21">
      <c r="A18" s="264" t="str">
        <f>+'Data Worksheet'!A22</f>
        <v>Fines and forfeitures</v>
      </c>
      <c r="B18" s="292">
        <f>'No Recession Forecast'!B18</f>
        <v>1555</v>
      </c>
      <c r="C18" s="292">
        <f>'No Recession Forecast'!C18</f>
        <v>127</v>
      </c>
      <c r="D18" s="271">
        <f>'No Recession Forecast'!D18*(1+Dashboard!H38)</f>
        <v>0</v>
      </c>
      <c r="E18" s="271">
        <f>'No Recession Forecast'!E18*(1+Dashboard!I38)</f>
        <v>0</v>
      </c>
      <c r="F18" s="271">
        <f>'No Recession Forecast'!F18*(1+Dashboard!J38)</f>
        <v>0</v>
      </c>
      <c r="G18" s="271">
        <f>'No Recession Forecast'!G18*(1+Dashboard!K38)</f>
        <v>0</v>
      </c>
      <c r="H18" s="271">
        <f>'No Recession Forecast'!H18*(1+Dashboard!L38)</f>
        <v>0</v>
      </c>
      <c r="I18" s="271">
        <f>'No Recession Forecast'!I18*(1+Dashboard!M38)</f>
        <v>0</v>
      </c>
      <c r="J18" s="263">
        <f>'No Recession Forecast'!J18</f>
        <v>0</v>
      </c>
      <c r="K18" s="263">
        <f>'No Recession Forecast'!K18</f>
        <v>0</v>
      </c>
      <c r="L18" s="263"/>
      <c r="M18" s="269">
        <f t="shared" si="1"/>
        <v>-0.91832797427652735</v>
      </c>
      <c r="N18" s="269">
        <f t="shared" si="2"/>
        <v>-1</v>
      </c>
      <c r="O18" s="269">
        <f t="shared" si="3"/>
        <v>0</v>
      </c>
      <c r="P18" s="269">
        <f t="shared" si="3"/>
        <v>0</v>
      </c>
      <c r="Q18" s="269">
        <f t="shared" si="3"/>
        <v>0</v>
      </c>
      <c r="R18" s="269">
        <f t="shared" si="3"/>
        <v>0</v>
      </c>
      <c r="S18" s="269">
        <f t="shared" si="3"/>
        <v>0</v>
      </c>
      <c r="T18" s="293">
        <f>IF('No Recession Forecast'!T$2&lt;='No Recession Forecast'!$P$2+Recovery_years,Dashboard!$L38,0)+'No Recession Forecast'!T18</f>
        <v>0</v>
      </c>
      <c r="U18" s="293">
        <f>IF('No Recession Forecast'!U$2&lt;='No Recession Forecast'!$P$2+Recovery_years,Dashboard!$L38,0)+'No Recession Forecast'!U18</f>
        <v>0</v>
      </c>
    </row>
    <row r="19" spans="1:21">
      <c r="A19" s="264" t="str">
        <f>+'Data Worksheet'!A23</f>
        <v>Interest Earnings</v>
      </c>
      <c r="B19" s="292">
        <f>'No Recession Forecast'!B19</f>
        <v>78332.000000000015</v>
      </c>
      <c r="C19" s="292">
        <f>'No Recession Forecast'!C19</f>
        <v>87100</v>
      </c>
      <c r="D19" s="271">
        <f t="shared" ref="D19" si="25">IF(D56*0.02&lt;0,0,D56*0.02)</f>
        <v>70000</v>
      </c>
      <c r="E19" s="271">
        <f t="shared" ref="E19:J19" si="26">IF(E56*0.02&lt;0,0,E56*0.02)</f>
        <v>71087.314172000028</v>
      </c>
      <c r="F19" s="271">
        <f t="shared" si="26"/>
        <v>59104.100329760018</v>
      </c>
      <c r="G19" s="271">
        <f t="shared" si="26"/>
        <v>51629.000375174357</v>
      </c>
      <c r="H19" s="271">
        <f t="shared" si="26"/>
        <v>37564.392098898141</v>
      </c>
      <c r="I19" s="271">
        <f t="shared" si="26"/>
        <v>22998.051490362919</v>
      </c>
      <c r="J19" s="294">
        <f t="shared" si="26"/>
        <v>1513.8707875953241</v>
      </c>
      <c r="K19" s="294">
        <f t="shared" ref="K19" si="27">IF(K56*0.02&lt;0,0,K56*0.02)</f>
        <v>0</v>
      </c>
      <c r="L19" s="263"/>
      <c r="M19" s="269">
        <f t="shared" si="1"/>
        <v>0.11193382015013009</v>
      </c>
      <c r="N19" s="269">
        <f t="shared" si="2"/>
        <v>-0.19632606199770375</v>
      </c>
      <c r="O19" s="269">
        <f t="shared" si="3"/>
        <v>1.5533059600000287E-2</v>
      </c>
      <c r="P19" s="269">
        <f t="shared" si="3"/>
        <v>-0.16857035579155377</v>
      </c>
      <c r="Q19" s="269">
        <f t="shared" si="3"/>
        <v>-0.12647345806601862</v>
      </c>
      <c r="R19" s="269">
        <f t="shared" si="3"/>
        <v>-0.27241682337586259</v>
      </c>
      <c r="S19" s="269">
        <f t="shared" si="3"/>
        <v>-0.38776990108572762</v>
      </c>
      <c r="T19" s="293">
        <f>IF('No Recession Forecast'!T$2&lt;='No Recession Forecast'!$P$2+Recovery_years,Dashboard!$L40,0)+'No Recession Forecast'!T19</f>
        <v>-0.22938263585222174</v>
      </c>
      <c r="U19" s="293">
        <f>IF('No Recession Forecast'!U$2&lt;='No Recession Forecast'!$P$2+Recovery_years,Dashboard!$L40,0)+'No Recession Forecast'!U19</f>
        <v>-0.40633387881274552</v>
      </c>
    </row>
    <row r="20" spans="1:21">
      <c r="A20" s="264" t="str">
        <f>+'Data Worksheet'!A24</f>
        <v>Rental income</v>
      </c>
      <c r="B20" s="292">
        <f>'No Recession Forecast'!B20</f>
        <v>125</v>
      </c>
      <c r="C20" s="292">
        <f>'No Recession Forecast'!C20</f>
        <v>36884</v>
      </c>
      <c r="D20" s="271">
        <f>'No Recession Forecast'!D20*(1+Dashboard!H39)</f>
        <v>44350</v>
      </c>
      <c r="E20" s="271">
        <f>'No Recession Forecast'!E20*(1+Dashboard!I39)</f>
        <v>79785.649999999994</v>
      </c>
      <c r="F20" s="271">
        <f>'No Recession Forecast'!F20*(1+Dashboard!J39)</f>
        <v>83378</v>
      </c>
      <c r="G20" s="271">
        <f>'No Recession Forecast'!G20*(1+Dashboard!K39)</f>
        <v>86039</v>
      </c>
      <c r="H20" s="271">
        <f>'No Recession Forecast'!H20*(1+Dashboard!L39)</f>
        <v>88700</v>
      </c>
      <c r="I20" s="271">
        <f>'No Recession Forecast'!I20*(1+Dashboard!M39)</f>
        <v>88700</v>
      </c>
      <c r="J20" s="263">
        <f>'No Recession Forecast'!J20</f>
        <v>88700</v>
      </c>
      <c r="K20" s="263">
        <f>'No Recession Forecast'!K20</f>
        <v>88700</v>
      </c>
      <c r="L20" s="263"/>
      <c r="M20" s="269">
        <f t="shared" si="1"/>
        <v>294.072</v>
      </c>
      <c r="N20" s="269">
        <f t="shared" si="2"/>
        <v>0.20241839279904572</v>
      </c>
      <c r="O20" s="269">
        <f t="shared" si="3"/>
        <v>0.79899999999999993</v>
      </c>
      <c r="P20" s="269">
        <f t="shared" si="3"/>
        <v>4.5025013896609289E-2</v>
      </c>
      <c r="Q20" s="269">
        <f t="shared" si="3"/>
        <v>3.1914893617021267E-2</v>
      </c>
      <c r="R20" s="269">
        <f t="shared" si="3"/>
        <v>3.0927835051546282E-2</v>
      </c>
      <c r="S20" s="269">
        <f t="shared" si="3"/>
        <v>0</v>
      </c>
      <c r="T20" s="293">
        <f>IF('No Recession Forecast'!T$2&lt;='No Recession Forecast'!$P$2+Recovery_years,Dashboard!$I40,0)+'No Recession Forecast'!T20</f>
        <v>0</v>
      </c>
      <c r="U20" s="293">
        <f>IF('No Recession Forecast'!U$2&lt;='No Recession Forecast'!$P$2+Recovery_years,Dashboard!$I40,0)+'No Recession Forecast'!U20</f>
        <v>0</v>
      </c>
    </row>
    <row r="21" spans="1:21">
      <c r="A21" s="264" t="str">
        <f>+'Data Worksheet'!A25</f>
        <v>Other financing sources</v>
      </c>
      <c r="B21" s="292">
        <f>'No Recession Forecast'!B21</f>
        <v>0</v>
      </c>
      <c r="C21" s="292">
        <f>'No Recession Forecast'!C21</f>
        <v>0</v>
      </c>
      <c r="D21" s="271">
        <f>'No Recession Forecast'!D21*(1+Dashboard!H40)</f>
        <v>0</v>
      </c>
      <c r="E21" s="271">
        <f>'No Recession Forecast'!E21*(1+Dashboard!I40)</f>
        <v>0</v>
      </c>
      <c r="F21" s="271">
        <f>'No Recession Forecast'!F21*(1+Dashboard!J40)</f>
        <v>0</v>
      </c>
      <c r="G21" s="271">
        <f>'No Recession Forecast'!G21*(1+Dashboard!K40)</f>
        <v>0</v>
      </c>
      <c r="H21" s="271">
        <f>'No Recession Forecast'!H21*(1+Dashboard!L40)</f>
        <v>0</v>
      </c>
      <c r="I21" s="271">
        <f>'No Recession Forecast'!I21*(1+Dashboard!M40)</f>
        <v>0</v>
      </c>
      <c r="J21" s="263">
        <f>'No Recession Forecast'!J21</f>
        <v>0</v>
      </c>
      <c r="K21" s="263">
        <f>'No Recession Forecast'!K21</f>
        <v>0</v>
      </c>
      <c r="L21" s="263"/>
      <c r="M21" s="269">
        <f t="shared" si="1"/>
        <v>0</v>
      </c>
      <c r="N21" s="269">
        <f t="shared" si="2"/>
        <v>0</v>
      </c>
      <c r="O21" s="269">
        <f t="shared" si="3"/>
        <v>0</v>
      </c>
      <c r="P21" s="269">
        <f t="shared" si="3"/>
        <v>0</v>
      </c>
      <c r="Q21" s="269">
        <f t="shared" si="3"/>
        <v>0</v>
      </c>
      <c r="R21" s="269">
        <f t="shared" si="3"/>
        <v>0</v>
      </c>
      <c r="S21" s="269">
        <f t="shared" si="3"/>
        <v>0</v>
      </c>
      <c r="T21" s="293">
        <f>IF('No Recession Forecast'!T$2&lt;='No Recession Forecast'!$P$2+Recovery_years,Dashboard!$I41,0)+'No Recession Forecast'!T21</f>
        <v>0</v>
      </c>
      <c r="U21" s="293">
        <f>IF('No Recession Forecast'!U$2&lt;='No Recession Forecast'!$P$2+Recovery_years,Dashboard!$I41,0)+'No Recession Forecast'!U21</f>
        <v>0</v>
      </c>
    </row>
    <row r="22" spans="1:21">
      <c r="A22" s="264" t="str">
        <f>+'Data Worksheet'!A26</f>
        <v>Transfers In</v>
      </c>
      <c r="B22" s="292">
        <f>'No Recession Forecast'!B22</f>
        <v>1196432</v>
      </c>
      <c r="C22" s="292">
        <f>'No Recession Forecast'!C22</f>
        <v>672565</v>
      </c>
      <c r="D22" s="271">
        <f>'No Recession Forecast'!D22*(1+Dashboard!H41)</f>
        <v>137000</v>
      </c>
      <c r="E22" s="271">
        <f>'No Recession Forecast'!E22*(1+Dashboard!I41)</f>
        <v>137000</v>
      </c>
      <c r="F22" s="271">
        <f>'No Recession Forecast'!F22*(1+Dashboard!J41)</f>
        <v>137000</v>
      </c>
      <c r="G22" s="271">
        <f>'No Recession Forecast'!G22*(1+Dashboard!K41)</f>
        <v>137000</v>
      </c>
      <c r="H22" s="271">
        <f>'No Recession Forecast'!H22*(1+Dashboard!L41)</f>
        <v>137000</v>
      </c>
      <c r="I22" s="271">
        <f>'No Recession Forecast'!I22*(1+Dashboard!M41)</f>
        <v>137000</v>
      </c>
      <c r="J22" s="263">
        <f>'No Recession Forecast'!J22</f>
        <v>137000</v>
      </c>
      <c r="K22" s="263">
        <f>'No Recession Forecast'!K22</f>
        <v>137000</v>
      </c>
      <c r="L22" s="263"/>
      <c r="M22" s="269">
        <f t="shared" ref="M22:M23" si="28">IFERROR(C22/B22-1,0)</f>
        <v>-0.4378577303181459</v>
      </c>
      <c r="N22" s="269">
        <f t="shared" ref="N22:N24" si="29">IFERROR(D22/C22-1,0)</f>
        <v>-0.7963022161426776</v>
      </c>
      <c r="O22" s="269">
        <f t="shared" ref="O22:O24" si="30">IFERROR(E22/D22-1,0)</f>
        <v>0</v>
      </c>
      <c r="P22" s="269">
        <f t="shared" ref="P22:P24" si="31">IFERROR(F22/E22-1,0)</f>
        <v>0</v>
      </c>
      <c r="Q22" s="269">
        <f t="shared" ref="Q22:Q24" si="32">IFERROR(G22/F22-1,0)</f>
        <v>0</v>
      </c>
      <c r="R22" s="269">
        <f t="shared" ref="R22:R24" si="33">IFERROR(H22/G22-1,0)</f>
        <v>0</v>
      </c>
      <c r="S22" s="269">
        <f t="shared" ref="S22:S24" si="34">IFERROR(I22/H22-1,0)</f>
        <v>0</v>
      </c>
      <c r="T22" s="293">
        <f>IF('No Recession Forecast'!T$2&lt;='No Recession Forecast'!$P$2+Recovery_years,Dashboard!$I42,0)+'No Recession Forecast'!T22</f>
        <v>0</v>
      </c>
      <c r="U22" s="293">
        <f>IF('No Recession Forecast'!U$2&lt;='No Recession Forecast'!$P$2+Recovery_years,Dashboard!$I42,0)+'No Recession Forecast'!U22</f>
        <v>0</v>
      </c>
    </row>
    <row r="23" spans="1:21">
      <c r="A23" s="286" t="s">
        <v>201</v>
      </c>
      <c r="B23" s="295">
        <v>0</v>
      </c>
      <c r="C23" s="296">
        <v>0</v>
      </c>
      <c r="D23" s="270">
        <v>0</v>
      </c>
      <c r="E23" s="270">
        <v>0</v>
      </c>
      <c r="F23" s="270">
        <v>0</v>
      </c>
      <c r="G23" s="270">
        <v>0</v>
      </c>
      <c r="H23" s="270">
        <v>0</v>
      </c>
      <c r="I23" s="270">
        <v>0</v>
      </c>
      <c r="J23" s="270">
        <v>0</v>
      </c>
      <c r="K23" s="270">
        <v>0</v>
      </c>
      <c r="L23" s="263"/>
      <c r="M23" s="269">
        <f t="shared" si="28"/>
        <v>0</v>
      </c>
      <c r="N23" s="269">
        <f t="shared" ref="N23" si="35">IFERROR(D23/C23-1,0)</f>
        <v>0</v>
      </c>
      <c r="O23" s="269">
        <f t="shared" ref="O23" si="36">IFERROR(E23/D23-1,0)</f>
        <v>0</v>
      </c>
      <c r="P23" s="269">
        <f t="shared" ref="P23" si="37">IFERROR(F23/E23-1,0)</f>
        <v>0</v>
      </c>
      <c r="Q23" s="269">
        <f t="shared" ref="Q23" si="38">IFERROR(G23/F23-1,0)</f>
        <v>0</v>
      </c>
      <c r="R23" s="269">
        <f t="shared" ref="R23" si="39">IFERROR(H23/G23-1,0)</f>
        <v>0</v>
      </c>
      <c r="S23" s="269">
        <f t="shared" ref="S23" si="40">IFERROR(I23/H23-1,0)</f>
        <v>0</v>
      </c>
      <c r="T23" s="269">
        <f t="shared" ref="T23" si="41">IFERROR(J23/I23-1,0)</f>
        <v>0</v>
      </c>
      <c r="U23" s="269">
        <f t="shared" ref="U23" si="42">IFERROR(K23/J23-1,0)</f>
        <v>0</v>
      </c>
    </row>
    <row r="24" spans="1:21">
      <c r="A24" s="286" t="s">
        <v>32</v>
      </c>
      <c r="B24" s="295">
        <v>0</v>
      </c>
      <c r="C24" s="296">
        <v>0</v>
      </c>
      <c r="D24" s="270">
        <v>0</v>
      </c>
      <c r="E24" s="270">
        <v>0</v>
      </c>
      <c r="F24" s="270">
        <v>0</v>
      </c>
      <c r="G24" s="270">
        <v>0</v>
      </c>
      <c r="H24" s="270">
        <v>0</v>
      </c>
      <c r="I24" s="270">
        <v>0</v>
      </c>
      <c r="J24" s="270">
        <v>0</v>
      </c>
      <c r="K24" s="270">
        <v>0</v>
      </c>
      <c r="L24" s="263"/>
      <c r="M24" s="269">
        <f t="shared" ref="M24" si="43">IFERROR(C24/B24-1,0)</f>
        <v>0</v>
      </c>
      <c r="N24" s="269">
        <f t="shared" si="29"/>
        <v>0</v>
      </c>
      <c r="O24" s="269">
        <f t="shared" si="30"/>
        <v>0</v>
      </c>
      <c r="P24" s="269">
        <f t="shared" si="31"/>
        <v>0</v>
      </c>
      <c r="Q24" s="269">
        <f t="shared" si="32"/>
        <v>0</v>
      </c>
      <c r="R24" s="269">
        <f t="shared" si="33"/>
        <v>0</v>
      </c>
      <c r="S24" s="269">
        <f t="shared" si="34"/>
        <v>0</v>
      </c>
      <c r="T24" s="269">
        <f t="shared" ref="T24" si="44">IFERROR(J24/I24-1,0)</f>
        <v>0</v>
      </c>
      <c r="U24" s="269">
        <f t="shared" ref="U24" si="45">IFERROR(K24/J24-1,0)</f>
        <v>0</v>
      </c>
    </row>
    <row r="25" spans="1:21" ht="15" thickBot="1">
      <c r="A25" s="264" t="s">
        <v>4</v>
      </c>
      <c r="B25" s="297">
        <f t="shared" ref="B25:K25" si="46">SUM(B3:B24)</f>
        <v>13470890</v>
      </c>
      <c r="C25" s="272">
        <f t="shared" si="46"/>
        <v>13111017</v>
      </c>
      <c r="D25" s="272">
        <f t="shared" si="46"/>
        <v>12440656.520000001</v>
      </c>
      <c r="E25" s="272">
        <f t="shared" si="46"/>
        <v>12505876.842971999</v>
      </c>
      <c r="F25" s="272">
        <f t="shared" si="46"/>
        <v>13310285.177533757</v>
      </c>
      <c r="G25" s="272">
        <f t="shared" si="46"/>
        <v>13768065.688870031</v>
      </c>
      <c r="H25" s="272">
        <f t="shared" si="46"/>
        <v>14233167.878701035</v>
      </c>
      <c r="I25" s="272">
        <f t="shared" si="46"/>
        <v>14450168.387817502</v>
      </c>
      <c r="J25" s="272">
        <f t="shared" si="46"/>
        <v>14665811.097988531</v>
      </c>
      <c r="K25" s="272">
        <f t="shared" si="46"/>
        <v>14907118.137677681</v>
      </c>
      <c r="L25" s="263"/>
      <c r="M25" s="273">
        <f t="shared" ref="M25:U25" si="47">IFERROR(C25/B25-1,0)</f>
        <v>-2.6714864422469509E-2</v>
      </c>
      <c r="N25" s="273">
        <f t="shared" si="47"/>
        <v>-5.1129556158763134E-2</v>
      </c>
      <c r="O25" s="273">
        <f t="shared" si="47"/>
        <v>5.2425145624064307E-3</v>
      </c>
      <c r="P25" s="273">
        <f t="shared" si="47"/>
        <v>6.432242574128777E-2</v>
      </c>
      <c r="Q25" s="273">
        <f t="shared" si="47"/>
        <v>3.4392990475437424E-2</v>
      </c>
      <c r="R25" s="273">
        <f t="shared" si="47"/>
        <v>3.3781229719653805E-2</v>
      </c>
      <c r="S25" s="273">
        <f t="shared" si="47"/>
        <v>1.5246114636306096E-2</v>
      </c>
      <c r="T25" s="273">
        <f t="shared" si="47"/>
        <v>1.4923197044044878E-2</v>
      </c>
      <c r="U25" s="273">
        <f t="shared" si="47"/>
        <v>1.6453712520696939E-2</v>
      </c>
    </row>
    <row r="26" spans="1:21" ht="15" thickTop="1">
      <c r="A26" s="264" t="s">
        <v>24</v>
      </c>
      <c r="B26" s="292"/>
      <c r="C26" s="291">
        <f>C25/B25-1</f>
        <v>-2.6714864422469509E-2</v>
      </c>
      <c r="D26" s="291">
        <f t="shared" ref="D26:K26" si="48">D25/C25-1</f>
        <v>-5.1129556158763134E-2</v>
      </c>
      <c r="E26" s="291">
        <f t="shared" si="48"/>
        <v>5.2425145624064307E-3</v>
      </c>
      <c r="F26" s="291">
        <f t="shared" si="48"/>
        <v>6.432242574128777E-2</v>
      </c>
      <c r="G26" s="291">
        <f t="shared" si="48"/>
        <v>3.4392990475437424E-2</v>
      </c>
      <c r="H26" s="291">
        <f t="shared" si="48"/>
        <v>3.3781229719653805E-2</v>
      </c>
      <c r="I26" s="291">
        <f t="shared" si="48"/>
        <v>1.5246114636306096E-2</v>
      </c>
      <c r="J26" s="291">
        <f t="shared" si="48"/>
        <v>1.4923197044044878E-2</v>
      </c>
      <c r="K26" s="291">
        <f t="shared" si="48"/>
        <v>1.6453712520696939E-2</v>
      </c>
      <c r="L26" s="298" t="s">
        <v>195</v>
      </c>
      <c r="M26" s="299">
        <f>-(1-(C25/'No Recession Forecast'!C23))</f>
        <v>0</v>
      </c>
      <c r="N26" s="299">
        <f>-(1-(D25/'No Recession Forecast'!D23))</f>
        <v>-8.8579031229685912E-2</v>
      </c>
      <c r="O26" s="299">
        <f>-(1-(E25/'No Recession Forecast'!E23))</f>
        <v>-8.235607356497221E-2</v>
      </c>
      <c r="P26" s="299">
        <f>-(1-(F25/'No Recession Forecast'!F23))</f>
        <v>-3.9271361405170069E-2</v>
      </c>
      <c r="Q26" s="299">
        <f>-(1-(G25/'No Recession Forecast'!G23))</f>
        <v>-2.2057594875967923E-2</v>
      </c>
      <c r="R26" s="299">
        <f>-(1-(H25/'No Recession Forecast'!H23))</f>
        <v>-4.4570104445468273E-3</v>
      </c>
      <c r="S26" s="299">
        <f>-(1-(I25/'No Recession Forecast'!I23))</f>
        <v>-4.4777869247933921E-3</v>
      </c>
      <c r="T26" s="299">
        <f>-(1-(J25/'No Recession Forecast'!J23))</f>
        <v>-4.5000847126925869E-3</v>
      </c>
      <c r="U26" s="299">
        <f>-(1-(K25/'No Recession Forecast'!K23))</f>
        <v>-2.6931995439958278E-3</v>
      </c>
    </row>
    <row r="27" spans="1:21">
      <c r="A27" s="264"/>
      <c r="B27" s="292"/>
      <c r="C27" s="263"/>
      <c r="D27" s="263"/>
      <c r="E27" s="263"/>
      <c r="F27" s="263"/>
      <c r="G27" s="263"/>
      <c r="H27" s="263"/>
      <c r="I27" s="263"/>
      <c r="J27" s="263"/>
      <c r="K27" s="263"/>
      <c r="L27" s="263"/>
      <c r="M27" s="275"/>
      <c r="N27" s="275"/>
      <c r="O27" s="275"/>
      <c r="P27" s="275"/>
      <c r="Q27" s="275"/>
      <c r="R27" s="275"/>
      <c r="S27" s="275"/>
      <c r="T27" s="275"/>
      <c r="U27" s="275"/>
    </row>
    <row r="28" spans="1:21">
      <c r="A28" s="277" t="str">
        <f>Dashboard!A98</f>
        <v>Administration/Support</v>
      </c>
      <c r="B28" s="292">
        <f>'No Recession Forecast'!B26</f>
        <v>3291243.7000000007</v>
      </c>
      <c r="C28" s="263">
        <f>'No Recession Forecast'!C26</f>
        <v>3364169.0300000007</v>
      </c>
      <c r="D28" s="278">
        <f>IFERROR(Dashboard!E98*1000000+IF(AND(Dashboard!E$215=Budget_Reduction_FY,Budget_Cut_Amount&lt;&gt;0),(D$49-(D$49*((C$29+C$30)/C$35)*Cut_Weight_Safety))*(C28/(SUM(C$28,C$31:C$34))),0)+
IF(AND(Budget_Increase_Amount&lt;&gt;0,Dashboard!E$215=Budget_Increase_FY),D$50*(C28/C$35),0)*(C28/C$35*(D$52-IF(Dashboard!E$215&gt;Budget_Reduction_FY,0,D$49)-IF(Dashboard!E$215&gt;Budget_Increase_FY,0,D$50)))+
IF(AND(Dashboard!E$215=Budget_Reduction_FY,Budget_Cut_Amount&lt;&gt;0),(D$49-(D$49*((C$29+C$30)/C$35)*Cut_Weight_Safety))*(C28/(SUM(C$28,C$31:C$34))),0)+
IF(AND(Budget_Increase_Amount&lt;&gt;0,Dashboard!E$215=Budget_Increase_FY),D$50*(C28/C$35),0),0)</f>
        <v>3527036.48</v>
      </c>
      <c r="E28" s="279">
        <f>IFERROR(IF(Bud_Calc=1,Dashboard!G98*1000000,Dashboard!F98*1000000)+IF(AND(Dashboard!F$215=Budget_Reduction_FY,Budget_Cut_Amount&lt;&gt;0),(E$49-(E$49*((D$29+D$30)/D$35)*Cut_Weight_Safety))*(D28/(SUM(D$28,D$31:D$34))),0)+E$50*(D28/D$35),0)</f>
        <v>2343338.7605756768</v>
      </c>
      <c r="F28" s="278">
        <f>IFERROR((E28/E$35*(F$52-IF(Dashboard!G$215&gt;Budget_Reduction_FY,0,F$49)-IF(Dashboard!G$215&gt;Budget_Increase_FY,0,F$50)))+
IF(AND(Dashboard!G$215=Budget_Reduction_FY,Budget_Cut_Amount&lt;&gt;0),(F$49-(F$49*((E$29+E$30)/E$35)*Cut_Weight_Safety))*(E28/(SUM(E$28,E$31:E$34))),0)+
IF(AND(Budget_Increase_Amount&lt;&gt;0,Dashboard!G$215=Budget_Increase_FY),F$50*(E28/E$35),0),0)</f>
        <v>3835374.690991119</v>
      </c>
      <c r="G28" s="278">
        <f>IFERROR((F28/F$35*(G$52-IF(Dashboard!H$215&gt;Budget_Reduction_FY,0,G$49)-IF(Dashboard!H$215&gt;Budget_Increase_FY,0,G$50)))+
IF(AND(Dashboard!H$215=Budget_Reduction_FY,Budget_Cut_Amount&lt;&gt;0),(G$49-(G$49*((F$29+F$30)/F$35)*Cut_Weight_Safety))*(F28/(SUM(F$28,F$31:F$34))),0)+
IF(AND(Budget_Increase_Amount&lt;&gt;0,Dashboard!H$215=Budget_Increase_FY),G$50*(F28/F$35),0),0)</f>
        <v>4051293.797452474</v>
      </c>
      <c r="H28" s="278">
        <f>IFERROR((G28/G$35*(H$52-IF(Dashboard!I$215&gt;Budget_Reduction_FY,0,H$49)-IF(Dashboard!I$215&gt;Budget_Increase_FY,0,H$50)))+
IF(AND(Dashboard!I$215=Budget_Reduction_FY,Budget_Cut_Amount&lt;&gt;0),(H$49-(H$49*((G$29+G$30)/G$35)*Cut_Weight_Safety))*(G28/(SUM(G$28,G$31:G$34))),0)+
IF(AND(Budget_Increase_Amount&lt;&gt;0,Dashboard!I$215=Budget_Increase_FY),H$50*(G28/G$35),0),0)</f>
        <v>4185736.8996231901</v>
      </c>
      <c r="I28" s="278">
        <f>IFERROR((H28/H$35*(I$52-IF(Dashboard!J$215&gt;Budget_Reduction_FY,0,I$49)-IF(Dashboard!J$215&gt;Budget_Increase_FY,0,I$50)))+
IF(AND(Dashboard!J$215=Budget_Reduction_FY,Budget_Cut_Amount&lt;&gt;0),(I$49-(I$49*((H$29+H$30)/H$35)*Cut_Weight_Safety))*(H28/(SUM(H$28,H$31:H$34))),0)+
IF(AND(Budget_Increase_Amount&lt;&gt;0,Dashboard!J$215=Budget_Increase_FY),I$50*(H28/H$35),0),0)</f>
        <v>4257839.9028576119</v>
      </c>
      <c r="J28" s="278">
        <f>IFERROR((I28/I$35*(J$52-IF(Dashboard!K$215&gt;Budget_Reduction_FY,0,J$49)-IF(Dashboard!K$215&gt;Budget_Increase_FY,0,J$50)))+
IF(AND(Dashboard!K$215=Budget_Reduction_FY,Budget_Cut_Amount&lt;&gt;0),(J$49-(J$49*((I$29+I$30)/I$35)*Cut_Weight_Safety))*(I28/(SUM(I$28,I$31:I$34))),0)+
IF(AND(Budget_Increase_Amount&lt;&gt;0,Dashboard!K$215=Budget_Increase_FY),J$50*(I28/I$35),0),0)</f>
        <v>4418395.3689685408</v>
      </c>
      <c r="K28" s="278">
        <f>IFERROR((J28/J$35*(K$52-IF(Dashboard!L$215&gt;Budget_Reduction_FY,0,K$49)-IF(Dashboard!L$215&gt;Budget_Increase_FY,0,K$50)))+
IF(AND(Dashboard!L$215=Budget_Reduction_FY,Budget_Cut_Amount&lt;&gt;0),(K$49-(K$49*((J$29+J$30)/J$35)*Cut_Weight_Safety))*(J28/(SUM(J$28,J$31:J$34))),0)+
IF(AND(Budget_Increase_Amount&lt;&gt;0,Dashboard!L$215=Budget_Increase_FY),K$50*(J28/J$35),0),0)</f>
        <v>4585384.2123280605</v>
      </c>
      <c r="L28" s="263"/>
      <c r="M28" s="269">
        <f t="shared" ref="M28:M52" si="49">IFERROR(C28/B28-1,0)</f>
        <v>2.2157377771813147E-2</v>
      </c>
      <c r="N28" s="269">
        <f t="shared" ref="N28:N52" si="50">IFERROR(D28/C28-1,0)</f>
        <v>4.8412386104154548E-2</v>
      </c>
      <c r="O28" s="269">
        <f t="shared" ref="O28:O52" si="51">IFERROR(E28/D28-1,0)</f>
        <v>-0.33560688304089303</v>
      </c>
      <c r="P28" s="269">
        <f t="shared" ref="P28:P52" si="52">IFERROR(F28/E28-1,0)</f>
        <v>0.63671371613761085</v>
      </c>
      <c r="Q28" s="269">
        <f t="shared" ref="Q28:Q52" si="53">IFERROR(G28/F28-1,0)</f>
        <v>5.6296743827539464E-2</v>
      </c>
      <c r="R28" s="269">
        <f t="shared" ref="R28:R52" si="54">IFERROR(H28/G28-1,0)</f>
        <v>3.3185226471419194E-2</v>
      </c>
      <c r="S28" s="269">
        <f t="shared" ref="S28:S52" si="55">IFERROR(I28/H28-1,0)</f>
        <v>1.7225880403737959E-2</v>
      </c>
      <c r="T28" s="269">
        <f t="shared" ref="T28:T52" si="56">IFERROR(J28/I28-1,0)</f>
        <v>3.7708197060949411E-2</v>
      </c>
      <c r="U28" s="269">
        <f t="shared" ref="U28:U52" si="57">IFERROR(K28/J28-1,0)</f>
        <v>3.7794001988215697E-2</v>
      </c>
    </row>
    <row r="29" spans="1:21">
      <c r="A29" s="277" t="str">
        <f>Dashboard!A99</f>
        <v>Police</v>
      </c>
      <c r="B29" s="292">
        <f>'No Recession Forecast'!B27</f>
        <v>4284911.79</v>
      </c>
      <c r="C29" s="263">
        <f>'No Recession Forecast'!C27</f>
        <v>4282065.25</v>
      </c>
      <c r="D29" s="278">
        <f>IFERROR(Dashboard!E99*1000000+IF(AND(Dashboard!E$215=Budget_Reduction_FY,Budget_Cut_Amount&lt;&gt;0),(D$49-(D$49*((C$29+C$30)/C$35)*Cut_Weight_Safety))*(C29/(SUM(C$28,C$31:C$34))),0)+
IF(AND(Budget_Increase_Amount&lt;&gt;0,Dashboard!E$215=Budget_Increase_FY),D$50*(C29/C$35),0)*(C29/C$35*(D$52-IF(Dashboard!E$215&gt;Budget_Reduction_FY,0,D$49)-IF(Dashboard!E$215&gt;Budget_Increase_FY,0,D$50)))+
IF(AND(Dashboard!E$215=Budget_Reduction_FY,Budget_Cut_Amount&lt;&gt;0),(D$49-(D$49*((C$29+C$30)/C$35)*Cut_Weight_Safety))*(C29/(SUM(C$28,C$31:C$34))),0)+
IF(AND(Budget_Increase_Amount&lt;&gt;0,Dashboard!E$215=Budget_Increase_FY),D$50*(C29/C$35),0),0)</f>
        <v>4641416</v>
      </c>
      <c r="E29" s="279">
        <f>IFERROR(IF(Bud_Calc=1,Dashboard!G99*1000000,Dashboard!F99*1000000)+IF(AND(Budget_Cut_Amount&lt;&gt;0,Dashboard!F$215=Budget_Reduction_FY),((D29/D$35)*E$49*Cut_Weight_Safety),0)+D29/D$35*E$50,0)</f>
        <v>3083724.8433438702</v>
      </c>
      <c r="F29" s="278">
        <f>IFERROR((E29/E$35*(F$52-IF(Dashboard!G$215&gt;Budget_Reduction_FY,0,F$49)-IF(Dashboard!G$215&gt;Budget_Increase_FY,0,F$50)))+
IF(AND(Budget_Cut_Amount&lt;&gt;0,Dashboard!G$215=Budget_Reduction_FY),((E29/E$35)*F$49*Cut_Weight_Safety),0)+
IF(AND(Budget_Increase_Amount&lt;&gt;0,Dashboard!G$215=Budget_Increase_FY),E29/E$35*F$50,0),0)</f>
        <v>5047174.7478952184</v>
      </c>
      <c r="G29" s="278">
        <f>IFERROR((F29/F$35*(G$52-IF(Dashboard!H$215&gt;Budget_Reduction_FY,0,G$49)-IF(Dashboard!H$215&gt;Budget_Increase_FY,0,G$50)))+
IF(AND(Budget_Cut_Amount&lt;&gt;0,Dashboard!H$215=Budget_Reduction_FY),((F29/F$35)*G$49*Cut_Weight_Safety),0)+
IF(AND(Budget_Increase_Amount&lt;&gt;0,Dashboard!H$215=Budget_Increase_FY),F29/F$35*G$50,0),0)</f>
        <v>5331314.2517303014</v>
      </c>
      <c r="H29" s="278">
        <f>IFERROR((G29/G$35*(H$52-IF(Dashboard!I$215&gt;Budget_Reduction_FY,0,H$49)-IF(Dashboard!I$215&gt;Budget_Increase_FY,0,H$50)))+
IF(AND(Budget_Cut_Amount&lt;&gt;0,Dashboard!I$215=Budget_Reduction_FY),((G29/G$35)*H$49*Cut_Weight_Safety),0)+
IF(AND(Budget_Increase_Amount&lt;&gt;0,Dashboard!I$215=Budget_Increase_FY),G29/G$35*H$50,0),0)</f>
        <v>5508235.1225642757</v>
      </c>
      <c r="I29" s="278">
        <f>IFERROR((H29/H$35*(I$52-IF(Dashboard!J$215&gt;Budget_Reduction_FY,0,I$49)-IF(Dashboard!J$215&gt;Budget_Increase_FY,0,I$50)))+
IF(AND(Budget_Cut_Amount&lt;&gt;0,Dashboard!J$215=Budget_Reduction_FY),((H29/H$35)*I$49*Cut_Weight_Safety),0)+
IF(AND(Budget_Increase_Amount&lt;&gt;0,Dashboard!J$215=Budget_Increase_FY),H29/H$35*I$50,0),0)</f>
        <v>5603119.3220212366</v>
      </c>
      <c r="J29" s="278">
        <f>IFERROR((I29/I$35*(J$52-IF(Dashboard!K$215&gt;Budget_Reduction_FY,0,J$49)-IF(Dashboard!K$215&gt;Budget_Increase_FY,0,J$50)))+
IF(AND(Budget_Cut_Amount&lt;&gt;0,Dashboard!K$215=Budget_Reduction_FY),((I29/I$35)*J$49*Cut_Weight_Safety),0)+
IF(AND(Budget_Increase_Amount&lt;&gt;0,Dashboard!K$215=Budget_Increase_FY),I29/I$35*J$50,0),0)</f>
        <v>5814402.849572028</v>
      </c>
      <c r="K29" s="278">
        <f>IFERROR((J29/J$35*(K$52-IF(Dashboard!L$215&gt;Budget_Reduction_FY,0,K$49)-IF(Dashboard!L$215&gt;Budget_Increase_FY,0,K$50)))+
IF(AND(Budget_Cut_Amount&lt;&gt;0,Dashboard!L$215=Budget_Reduction_FY),((J29/J$35)*K$49*Cut_Weight_Safety),0)+
IF(AND(Budget_Increase_Amount&lt;&gt;0,Dashboard!L$215=Budget_Increase_FY),J29/J$35*K$50,0),0)</f>
        <v>6034152.4024290387</v>
      </c>
      <c r="L29" s="263"/>
      <c r="M29" s="269">
        <f t="shared" si="49"/>
        <v>-6.6431705937175511E-4</v>
      </c>
      <c r="N29" s="269">
        <f t="shared" si="50"/>
        <v>8.3919961285036537E-2</v>
      </c>
      <c r="O29" s="269">
        <f t="shared" si="51"/>
        <v>-0.33560688304089303</v>
      </c>
      <c r="P29" s="269">
        <f t="shared" si="52"/>
        <v>0.63671371613761107</v>
      </c>
      <c r="Q29" s="269">
        <f t="shared" si="53"/>
        <v>5.6296743827539464E-2</v>
      </c>
      <c r="R29" s="269">
        <f t="shared" si="54"/>
        <v>3.3185226471419194E-2</v>
      </c>
      <c r="S29" s="269">
        <f t="shared" si="55"/>
        <v>1.7225880403737959E-2</v>
      </c>
      <c r="T29" s="269">
        <f t="shared" si="56"/>
        <v>3.7708197060949633E-2</v>
      </c>
      <c r="U29" s="269">
        <f t="shared" si="57"/>
        <v>3.7794001988215475E-2</v>
      </c>
    </row>
    <row r="30" spans="1:21">
      <c r="A30" s="277" t="str">
        <f>Dashboard!A100</f>
        <v>Fire</v>
      </c>
      <c r="B30" s="292">
        <f>'No Recession Forecast'!B28</f>
        <v>0</v>
      </c>
      <c r="C30" s="263">
        <f>'No Recession Forecast'!C28</f>
        <v>0</v>
      </c>
      <c r="D30" s="278">
        <f>IFERROR(Dashboard!E100*1000000+IF(AND(Dashboard!E$215=Budget_Reduction_FY,Budget_Cut_Amount&lt;&gt;0),(D$49-(D$49*((C$29+C$30)/C$35)*Cut_Weight_Safety))*(C30/(SUM(C$28,C$31:C$34))),0)+
IF(AND(Budget_Increase_Amount&lt;&gt;0,Dashboard!E$215=Budget_Increase_FY),D$50*(C30/C$35),0)*(C30/C$35*(D$52-IF(Dashboard!E$215&gt;Budget_Reduction_FY,0,D$49)-IF(Dashboard!E$215&gt;Budget_Increase_FY,0,D$50)))+
IF(AND(Dashboard!E$215=Budget_Reduction_FY,Budget_Cut_Amount&lt;&gt;0),(D$49-(D$49*((C$29+C$30)/C$35)*Cut_Weight_Safety))*(C30/(SUM(C$28,C$31:C$34))),0)+
IF(AND(Budget_Increase_Amount&lt;&gt;0,Dashboard!E$215=Budget_Increase_FY),D$50*(C30/C$35),0),0)</f>
        <v>0</v>
      </c>
      <c r="E30" s="279">
        <f>IFERROR(IF(Bud_Calc=1,Dashboard!G100*1000000,Dashboard!F100*1000000)+IF(AND(Budget_Cut_Amount&lt;&gt;0,Dashboard!F$215=Budget_Reduction_FY),((D30/D$35)*E$49*Cut_Weight_Safety),0)+D30/D$35*E$50,0)</f>
        <v>0</v>
      </c>
      <c r="F30" s="278">
        <f>IFERROR((E30/E$35*(F$52-IF(Dashboard!G$215&gt;Budget_Reduction_FY,0,F$49)-IF(Dashboard!G$215&gt;Budget_Increase_FY,0,F$50)))+
IF(AND(Budget_Cut_Amount&lt;&gt;0,Dashboard!G$215=Budget_Reduction_FY),((E30/E$35)*F$49*Cut_Weight_Safety),0)+
IF(AND(Budget_Increase_Amount&lt;&gt;0,Dashboard!G$215=Budget_Increase_FY),E30/E$35*F$50,0),0)</f>
        <v>0</v>
      </c>
      <c r="G30" s="278">
        <f>IFERROR((F30/F$35*(G$52-IF(Dashboard!H$215&gt;Budget_Reduction_FY,0,G$49)-IF(Dashboard!H$215&gt;Budget_Increase_FY,0,G$50)))+
IF(AND(Budget_Cut_Amount&lt;&gt;0,Dashboard!H$215=Budget_Reduction_FY),((F30/F$35)*G$49*Cut_Weight_Safety),0)+
IF(AND(Budget_Increase_Amount&lt;&gt;0,Dashboard!H$215=Budget_Increase_FY),F30/F$35*G$50,0),0)</f>
        <v>0</v>
      </c>
      <c r="H30" s="278">
        <f>IFERROR((G30/G$35*(H$52-IF(Dashboard!I$215&gt;Budget_Reduction_FY,0,H$49)-IF(Dashboard!I$215&gt;Budget_Increase_FY,0,H$50)))+
IF(AND(Budget_Cut_Amount&lt;&gt;0,Dashboard!I$215=Budget_Reduction_FY),((G30/G$35)*H$49*Cut_Weight_Safety),0)+
IF(AND(Budget_Increase_Amount&lt;&gt;0,Dashboard!I$215=Budget_Increase_FY),G30/G$35*H$50,0),0)</f>
        <v>0</v>
      </c>
      <c r="I30" s="278">
        <f>IFERROR((H30/H$35*(I$52-IF(Dashboard!J$215&gt;Budget_Reduction_FY,0,I$49)-IF(Dashboard!J$215&gt;Budget_Increase_FY,0,I$50)))+
IF(AND(Budget_Cut_Amount&lt;&gt;0,Dashboard!J$215=Budget_Reduction_FY),((H30/H$35)*I$49*Cut_Weight_Safety),0)+
IF(AND(Budget_Increase_Amount&lt;&gt;0,Dashboard!J$215=Budget_Increase_FY),H30/H$35*I$50,0),0)</f>
        <v>0</v>
      </c>
      <c r="J30" s="278">
        <f>IFERROR((I30/I$35*(J$52-IF(Dashboard!K$215&gt;Budget_Reduction_FY,0,J$49)-IF(Dashboard!K$215&gt;Budget_Increase_FY,0,J$50)))+
IF(AND(Budget_Cut_Amount&lt;&gt;0,Dashboard!K$215=Budget_Reduction_FY),((I30/I$35)*J$49*Cut_Weight_Safety),0)+
IF(AND(Budget_Increase_Amount&lt;&gt;0,Dashboard!K$215=Budget_Increase_FY),I30/I$35*J$50,0),0)</f>
        <v>0</v>
      </c>
      <c r="K30" s="278">
        <f>IFERROR((J30/J$35*(K$52-IF(Dashboard!L$215&gt;Budget_Reduction_FY,0,K$49)-IF(Dashboard!L$215&gt;Budget_Increase_FY,0,K$50)))+
IF(AND(Budget_Cut_Amount&lt;&gt;0,Dashboard!L$215=Budget_Reduction_FY),((J30/J$35)*K$49*Cut_Weight_Safety),0)+
IF(AND(Budget_Increase_Amount&lt;&gt;0,Dashboard!L$215=Budget_Increase_FY),J30/J$35*K$50,0),0)</f>
        <v>0</v>
      </c>
      <c r="L30" s="263"/>
      <c r="M30" s="269">
        <f t="shared" si="49"/>
        <v>0</v>
      </c>
      <c r="N30" s="269">
        <f t="shared" si="50"/>
        <v>0</v>
      </c>
      <c r="O30" s="269">
        <f t="shared" si="51"/>
        <v>0</v>
      </c>
      <c r="P30" s="269">
        <f t="shared" si="52"/>
        <v>0</v>
      </c>
      <c r="Q30" s="269">
        <f t="shared" si="53"/>
        <v>0</v>
      </c>
      <c r="R30" s="269">
        <f t="shared" si="54"/>
        <v>0</v>
      </c>
      <c r="S30" s="269">
        <f t="shared" si="55"/>
        <v>0</v>
      </c>
      <c r="T30" s="269">
        <f t="shared" si="56"/>
        <v>0</v>
      </c>
      <c r="U30" s="269">
        <f t="shared" si="57"/>
        <v>0</v>
      </c>
    </row>
    <row r="31" spans="1:21">
      <c r="A31" s="277" t="str">
        <f>Dashboard!A102</f>
        <v>Parks/Rec/Culture/Leisure</v>
      </c>
      <c r="B31" s="292">
        <f>'No Recession Forecast'!B29</f>
        <v>1200867.4000000001</v>
      </c>
      <c r="C31" s="263">
        <f>'No Recession Forecast'!C29</f>
        <v>1722999.19</v>
      </c>
      <c r="D31" s="278">
        <f>IFERROR(Dashboard!E102*1000000+IF(AND(Dashboard!E$215=Budget_Reduction_FY,Budget_Cut_Amount&lt;&gt;0),(D$49-(D$49*((C$29+C$30)/C$35)*Cut_Weight_Safety))*(C31/(SUM(C$28,C$31:C$34))),0)+
IF(AND(Budget_Increase_Amount&lt;&gt;0,Dashboard!E$215=Budget_Increase_FY),D$50*(C31/C$35),0)*(C31/C$35*(D$52-IF(Dashboard!E$215&gt;Budget_Reduction_FY,0,D$49)-IF(Dashboard!E$215&gt;Budget_Increase_FY,0,D$50)))+
IF(AND(Dashboard!E$215=Budget_Reduction_FY,Budget_Cut_Amount&lt;&gt;0),(D$49-(D$49*((C$29+C$30)/C$35)*Cut_Weight_Safety))*(C31/(SUM(C$28,C$31:C$34))),0)+
IF(AND(Budget_Increase_Amount&lt;&gt;0,Dashboard!E$215=Budget_Increase_FY),D$50*(C31/C$35),0),0)</f>
        <v>2049345.4299999997</v>
      </c>
      <c r="E31" s="279">
        <f>IFERROR(IF(Bud_Calc=1,Dashboard!G102*1000000,Dashboard!F102*1000000)+IF(AND(Dashboard!F$215=Budget_Reduction_FY,Budget_Cut_Amount&lt;&gt;0),(E$49-(E$49*((D$29+D$30)/D$35)*Cut_Weight_Safety))*(D31/(SUM(D$28,D$31:D$34))),0)+E$50*(D31/D$35),0)</f>
        <v>1361570.9979636013</v>
      </c>
      <c r="F31" s="278">
        <f>IFERROR((E31/E$35*(F$52-IF(Dashboard!G$215&gt;Budget_Reduction_FY,0,F$49)-IF(Dashboard!G$215&gt;Budget_Increase_FY,0,F$50)))+
IF(AND(Dashboard!G$215=Budget_Reduction_FY,Budget_Cut_Amount&lt;&gt;0),(F$49-(F$49*((E$29+E$30)/E$35)*Cut_Weight_Safety))*(E31/(SUM(E$28,E$31:E$34))),0)+
IF(AND(Budget_Increase_Amount&lt;&gt;0,Dashboard!G$215=Budget_Increase_FY),F$50*(E31/E$35),0),0)</f>
        <v>2228501.9278622014</v>
      </c>
      <c r="G31" s="278">
        <f>IFERROR((F31/F$35*(G$52-IF(Dashboard!H$215&gt;Budget_Reduction_FY,0,G$49)-IF(Dashboard!H$215&gt;Budget_Increase_FY,0,G$50)))+
IF(AND(Dashboard!H$215=Budget_Reduction_FY,Budget_Cut_Amount&lt;&gt;0),(G$49-(G$49*((F$29+F$30)/F$35)*Cut_Weight_Safety))*(F31/(SUM(F$28,F$31:F$34))),0)+
IF(AND(Budget_Increase_Amount&lt;&gt;0,Dashboard!H$215=Budget_Increase_FY),G$50*(F31/F$35),0),0)</f>
        <v>2353959.3300142372</v>
      </c>
      <c r="H31" s="278">
        <f>IFERROR((G31/G$35*(H$52-IF(Dashboard!I$215&gt;Budget_Reduction_FY,0,H$49)-IF(Dashboard!I$215&gt;Budget_Increase_FY,0,H$50)))+
IF(AND(Dashboard!I$215=Budget_Reduction_FY,Budget_Cut_Amount&lt;&gt;0),(H$49-(H$49*((G$29+G$30)/G$35)*Cut_Weight_Safety))*(G31/(SUM(G$28,G$31:G$34))),0)+
IF(AND(Budget_Increase_Amount&lt;&gt;0,Dashboard!I$215=Budget_Increase_FY),H$50*(G31/G$35),0),0)</f>
        <v>2432076.0034852698</v>
      </c>
      <c r="I31" s="278">
        <f>IFERROR((H31/H$35*(I$52-IF(Dashboard!J$215&gt;Budget_Reduction_FY,0,I$49)-IF(Dashboard!J$215&gt;Budget_Increase_FY,0,I$50)))+
IF(AND(Dashboard!J$215=Budget_Reduction_FY,Budget_Cut_Amount&lt;&gt;0),(I$49-(I$49*((H$29+H$30)/H$35)*Cut_Weight_Safety))*(H31/(SUM(H$28,H$31:H$34))),0)+
IF(AND(Budget_Increase_Amount&lt;&gt;0,Dashboard!J$215=Budget_Increase_FY),I$50*(H31/H$35),0),0)</f>
        <v>2473970.6538541075</v>
      </c>
      <c r="J31" s="278">
        <f>IFERROR((I31/I$35*(J$52-IF(Dashboard!K$215&gt;Budget_Reduction_FY,0,J$49)-IF(Dashboard!K$215&gt;Budget_Increase_FY,0,J$50)))+
IF(AND(Dashboard!K$215=Budget_Reduction_FY,Budget_Cut_Amount&lt;&gt;0),(J$49-(J$49*((I$29+I$30)/I$35)*Cut_Weight_Safety))*(I31/(SUM(I$28,I$31:I$34))),0)+
IF(AND(Budget_Increase_Amount&lt;&gt;0,Dashboard!K$215=Budget_Increase_FY),J$50*(I31/I$35),0),0)</f>
        <v>2567259.6267926442</v>
      </c>
      <c r="K31" s="278">
        <f>IFERROR((J31/J$35*(K$52-IF(Dashboard!L$215&gt;Budget_Reduction_FY,0,K$49)-IF(Dashboard!L$215&gt;Budget_Increase_FY,0,K$50)))+
IF(AND(Dashboard!L$215=Budget_Reduction_FY,Budget_Cut_Amount&lt;&gt;0),(K$49-(K$49*((J$29+J$30)/J$35)*Cut_Weight_Safety))*(J31/(SUM(J$28,J$31:J$34))),0)+
IF(AND(Budget_Increase_Amount&lt;&gt;0,Dashboard!L$215=Budget_Increase_FY),K$50*(J31/J$35),0),0)</f>
        <v>2664286.6422319105</v>
      </c>
      <c r="L31" s="263"/>
      <c r="M31" s="269">
        <f t="shared" si="49"/>
        <v>0.43479554029029321</v>
      </c>
      <c r="N31" s="269">
        <f t="shared" si="50"/>
        <v>0.189405916087517</v>
      </c>
      <c r="O31" s="269">
        <f t="shared" si="51"/>
        <v>-0.33560688304089303</v>
      </c>
      <c r="P31" s="269">
        <f t="shared" si="52"/>
        <v>0.63671371613761107</v>
      </c>
      <c r="Q31" s="269">
        <f t="shared" si="53"/>
        <v>5.6296743827539242E-2</v>
      </c>
      <c r="R31" s="269">
        <f t="shared" si="54"/>
        <v>3.3185226471419194E-2</v>
      </c>
      <c r="S31" s="269">
        <f t="shared" si="55"/>
        <v>1.7225880403737737E-2</v>
      </c>
      <c r="T31" s="269">
        <f t="shared" si="56"/>
        <v>3.7708197060949411E-2</v>
      </c>
      <c r="U31" s="269">
        <f t="shared" si="57"/>
        <v>3.7794001988215475E-2</v>
      </c>
    </row>
    <row r="32" spans="1:21">
      <c r="A32" s="277" t="str">
        <f>Dashboard!A103</f>
        <v>Community Development</v>
      </c>
      <c r="B32" s="292">
        <f>'No Recession Forecast'!B30</f>
        <v>2130286.0499999998</v>
      </c>
      <c r="C32" s="263">
        <f>'No Recession Forecast'!C30</f>
        <v>2008336.27</v>
      </c>
      <c r="D32" s="278">
        <f>IFERROR(Dashboard!E103*1000000+IF(AND(Dashboard!E$215=Budget_Reduction_FY,Budget_Cut_Amount&lt;&gt;0),(D$49-(D$49*((C$29+C$30)/C$35)*Cut_Weight_Safety))*(C32/(SUM(C$28,C$31:C$34))),0)+
IF(AND(Budget_Increase_Amount&lt;&gt;0,Dashboard!E$215=Budget_Increase_FY),D$50*(C32/C$35),0)*(C32/C$35*(D$52-IF(Dashboard!E$215&gt;Budget_Reduction_FY,0,D$49)-IF(Dashboard!E$215&gt;Budget_Increase_FY,0,D$50)))+
IF(AND(Dashboard!E$215=Budget_Reduction_FY,Budget_Cut_Amount&lt;&gt;0),(D$49-(D$49*((C$29+C$30)/C$35)*Cut_Weight_Safety))*(C32/(SUM(C$28,C$31:C$34))),0)+
IF(AND(Budget_Increase_Amount&lt;&gt;0,Dashboard!E$215=Budget_Increase_FY),D$50*(C32/C$35),0),0)</f>
        <v>1831084.6500000001</v>
      </c>
      <c r="E32" s="279">
        <f>IFERROR(IF(Bud_Calc=1,Dashboard!G103*1000000,Dashboard!F103*1000000)+IF(AND(Dashboard!F$215=Budget_Reduction_FY,Budget_Cut_Amount&lt;&gt;0),(E$49-(E$49*((D$29+D$30)/D$35)*Cut_Weight_Safety))*(D32/(SUM(D$28,D$31:D$34))),0)+E$50*(D32/D$35),0)</f>
        <v>1216560.0380294754</v>
      </c>
      <c r="F32" s="278">
        <f>IFERROR((E32/E$35*(F$52-IF(Dashboard!G$215&gt;Budget_Reduction_FY,0,F$49)-IF(Dashboard!G$215&gt;Budget_Increase_FY,0,F$50)))+
IF(AND(Dashboard!G$215=Budget_Reduction_FY,Budget_Cut_Amount&lt;&gt;0),(F$49-(F$49*((E$29+E$30)/E$35)*Cut_Weight_Safety))*(E32/(SUM(E$28,E$31:E$34))),0)+
IF(AND(Budget_Increase_Amount&lt;&gt;0,Dashboard!G$215=Budget_Increase_FY),F$50*(E32/E$35),0),0)</f>
        <v>1991160.5007477358</v>
      </c>
      <c r="G32" s="278">
        <f>IFERROR((F32/F$35*(G$52-IF(Dashboard!H$215&gt;Budget_Reduction_FY,0,G$49)-IF(Dashboard!H$215&gt;Budget_Increase_FY,0,G$50)))+
IF(AND(Dashboard!H$215=Budget_Reduction_FY,Budget_Cut_Amount&lt;&gt;0),(G$49-(G$49*((F$29+F$30)/F$35)*Cut_Weight_Safety))*(F32/(SUM(F$28,F$31:F$34))),0)+
IF(AND(Budget_Increase_Amount&lt;&gt;0,Dashboard!H$215=Budget_Increase_FY),G$50*(F32/F$35),0),0)</f>
        <v>2103256.3533778461</v>
      </c>
      <c r="H32" s="278">
        <f>IFERROR((G32/G$35*(H$52-IF(Dashboard!I$215&gt;Budget_Reduction_FY,0,H$49)-IF(Dashboard!I$215&gt;Budget_Increase_FY,0,H$50)))+
IF(AND(Dashboard!I$215=Budget_Reduction_FY,Budget_Cut_Amount&lt;&gt;0),(H$49-(H$49*((G$29+G$30)/G$35)*Cut_Weight_Safety))*(G32/(SUM(G$28,G$31:G$34))),0)+
IF(AND(Budget_Increase_Amount&lt;&gt;0,Dashboard!I$215=Budget_Increase_FY),H$50*(G32/G$35),0),0)</f>
        <v>2173053.3917921409</v>
      </c>
      <c r="I32" s="278">
        <f>IFERROR((H32/H$35*(I$52-IF(Dashboard!J$215&gt;Budget_Reduction_FY,0,I$49)-IF(Dashboard!J$215&gt;Budget_Increase_FY,0,I$50)))+
IF(AND(Dashboard!J$215=Budget_Reduction_FY,Budget_Cut_Amount&lt;&gt;0),(I$49-(I$49*((H$29+H$30)/H$35)*Cut_Weight_Safety))*(H32/(SUM(H$28,H$31:H$34))),0)+
IF(AND(Budget_Increase_Amount&lt;&gt;0,Dashboard!J$215=Budget_Increase_FY),I$50*(H32/H$35),0),0)</f>
        <v>2210486.1496300893</v>
      </c>
      <c r="J32" s="278">
        <f>IFERROR((I32/I$35*(J$52-IF(Dashboard!K$215&gt;Budget_Reduction_FY,0,J$49)-IF(Dashboard!K$215&gt;Budget_Increase_FY,0,J$50)))+
IF(AND(Dashboard!K$215=Budget_Reduction_FY,Budget_Cut_Amount&lt;&gt;0),(J$49-(J$49*((I$29+I$30)/I$35)*Cut_Weight_Safety))*(I32/(SUM(I$28,I$31:I$34))),0)+
IF(AND(Budget_Increase_Amount&lt;&gt;0,Dashboard!K$215=Budget_Increase_FY),J$50*(I32/I$35),0),0)</f>
        <v>2293839.5969608403</v>
      </c>
      <c r="K32" s="278">
        <f>IFERROR((J32/J$35*(K$52-IF(Dashboard!L$215&gt;Budget_Reduction_FY,0,K$49)-IF(Dashboard!L$215&gt;Budget_Increase_FY,0,K$50)))+
IF(AND(Dashboard!L$215=Budget_Reduction_FY,Budget_Cut_Amount&lt;&gt;0),(K$49-(K$49*((J$29+J$30)/J$35)*Cut_Weight_Safety))*(J32/(SUM(J$28,J$31:J$34))),0)+
IF(AND(Budget_Increase_Amount&lt;&gt;0,Dashboard!L$215=Budget_Increase_FY),K$50*(J32/J$35),0),0)</f>
        <v>2380532.9752490255</v>
      </c>
      <c r="L32" s="263"/>
      <c r="M32" s="269">
        <f t="shared" si="49"/>
        <v>-5.7245729980722415E-2</v>
      </c>
      <c r="N32" s="269">
        <f t="shared" si="50"/>
        <v>-8.8257938995445206E-2</v>
      </c>
      <c r="O32" s="269">
        <f t="shared" si="51"/>
        <v>-0.33560688304089314</v>
      </c>
      <c r="P32" s="269">
        <f t="shared" si="52"/>
        <v>0.63671371613761085</v>
      </c>
      <c r="Q32" s="269">
        <f t="shared" si="53"/>
        <v>5.6296743827539242E-2</v>
      </c>
      <c r="R32" s="269">
        <f t="shared" si="54"/>
        <v>3.3185226471418972E-2</v>
      </c>
      <c r="S32" s="269">
        <f t="shared" si="55"/>
        <v>1.7225880403737959E-2</v>
      </c>
      <c r="T32" s="269">
        <f t="shared" si="56"/>
        <v>3.7708197060949633E-2</v>
      </c>
      <c r="U32" s="269">
        <f t="shared" si="57"/>
        <v>3.7794001988215475E-2</v>
      </c>
    </row>
    <row r="33" spans="1:21">
      <c r="A33" s="277" t="str">
        <f>Dashboard!A104</f>
        <v>Public Works</v>
      </c>
      <c r="B33" s="292">
        <f>'No Recession Forecast'!B31</f>
        <v>786087.94999999984</v>
      </c>
      <c r="C33" s="263">
        <f>'No Recession Forecast'!C31</f>
        <v>673725.56000000017</v>
      </c>
      <c r="D33" s="278">
        <f>IFERROR(Dashboard!E104*1000000+IF(AND(Dashboard!E$215=Budget_Reduction_FY,Budget_Cut_Amount&lt;&gt;0),(D$49-(D$49*((C$29+C$30)/C$35)*Cut_Weight_Safety))*(C33/(SUM(C$28,C$31:C$34))),0)+
IF(AND(Budget_Increase_Amount&lt;&gt;0,Dashboard!E$215=Budget_Increase_FY),D$50*(C33/C$35),0)*(C33/C$35*(D$52-IF(Dashboard!E$215&gt;Budget_Reduction_FY,0,D$49)-IF(Dashboard!E$215&gt;Budget_Increase_FY,0,D$50)))+
IF(AND(Dashboard!E$215=Budget_Reduction_FY,Budget_Cut_Amount&lt;&gt;0),(D$49-(D$49*((C$29+C$30)/C$35)*Cut_Weight_Safety))*(C33/(SUM(C$28,C$31:C$34))),0)+
IF(AND(Budget_Increase_Amount&lt;&gt;0,Dashboard!E$215=Budget_Increase_FY),D$50*(C33/C$35),0),0)</f>
        <v>810935.27</v>
      </c>
      <c r="E33" s="279">
        <f>IFERROR(IF(Bud_Calc=1,Dashboard!G104*1000000,Dashboard!F104*1000000)+IF(AND(Dashboard!F$215=Budget_Reduction_FY,Budget_Cut_Amount&lt;&gt;0),(E$49-(E$49*((D$29+D$30)/D$35)*Cut_Weight_Safety))*(D33/(SUM(D$28,D$31:D$34))),0)+E$50*(D33/D$35),0)</f>
        <v>538779.81168737495</v>
      </c>
      <c r="F33" s="278">
        <f>IFERROR((E33/E$35*(F$52-IF(Dashboard!G$215&gt;Budget_Reduction_FY,0,F$49)-IF(Dashboard!G$215&gt;Budget_Increase_FY,0,F$50)))+
IF(AND(Dashboard!G$215=Budget_Reduction_FY,Budget_Cut_Amount&lt;&gt;0),(F$49-(F$49*((E$29+E$30)/E$35)*Cut_Weight_Safety))*(E33/(SUM(E$28,E$31:E$34))),0)+
IF(AND(Budget_Increase_Amount&lt;&gt;0,Dashboard!G$215=Budget_Increase_FY),F$50*(E33/E$35),0),0)</f>
        <v>881828.30776676571</v>
      </c>
      <c r="G33" s="278">
        <f>IFERROR((F33/F$35*(G$52-IF(Dashboard!H$215&gt;Budget_Reduction_FY,0,G$49)-IF(Dashboard!H$215&gt;Budget_Increase_FY,0,G$50)))+
IF(AND(Dashboard!H$215=Budget_Reduction_FY,Budget_Cut_Amount&lt;&gt;0),(G$49-(G$49*((F$29+F$30)/F$35)*Cut_Weight_Safety))*(F33/(SUM(F$28,F$31:F$34))),0)+
IF(AND(Budget_Increase_Amount&lt;&gt;0,Dashboard!H$215=Budget_Increase_FY),G$50*(F33/F$35),0),0)</f>
        <v>931472.37010898395</v>
      </c>
      <c r="H33" s="278">
        <f>IFERROR((G33/G$35*(H$52-IF(Dashboard!I$215&gt;Budget_Reduction_FY,0,H$49)-IF(Dashboard!I$215&gt;Budget_Increase_FY,0,H$50)))+
IF(AND(Dashboard!I$215=Budget_Reduction_FY,Budget_Cut_Amount&lt;&gt;0),(H$49-(H$49*((G$29+G$30)/G$35)*Cut_Weight_Safety))*(G33/(SUM(G$28,G$31:G$34))),0)+
IF(AND(Budget_Increase_Amount&lt;&gt;0,Dashboard!I$215=Budget_Increase_FY),H$50*(G33/G$35),0),0)</f>
        <v>962383.4916629201</v>
      </c>
      <c r="I33" s="278">
        <f>IFERROR((H33/H$35*(I$52-IF(Dashboard!J$215&gt;Budget_Reduction_FY,0,I$49)-IF(Dashboard!J$215&gt;Budget_Increase_FY,0,I$50)))+
IF(AND(Dashboard!J$215=Budget_Reduction_FY,Budget_Cut_Amount&lt;&gt;0),(I$49-(I$49*((H$29+H$30)/H$35)*Cut_Weight_Safety))*(H33/(SUM(H$28,H$31:H$34))),0)+
IF(AND(Budget_Increase_Amount&lt;&gt;0,Dashboard!J$215=Budget_Increase_FY),I$50*(H33/H$35),0),0)</f>
        <v>978961.3945928372</v>
      </c>
      <c r="J33" s="278">
        <f>IFERROR((I33/I$35*(J$52-IF(Dashboard!K$215&gt;Budget_Reduction_FY,0,J$49)-IF(Dashboard!K$215&gt;Budget_Increase_FY,0,J$50)))+
IF(AND(Dashboard!K$215=Budget_Reduction_FY,Budget_Cut_Amount&lt;&gt;0),(J$49-(J$49*((I$29+I$30)/I$35)*Cut_Weight_Safety))*(I33/(SUM(I$28,I$31:I$34))),0)+
IF(AND(Budget_Increase_Amount&lt;&gt;0,Dashboard!K$215=Budget_Increase_FY),J$50*(I33/I$35),0),0)</f>
        <v>1015876.2637752059</v>
      </c>
      <c r="K33" s="278">
        <f>IFERROR((J33/J$35*(K$52-IF(Dashboard!L$215&gt;Budget_Reduction_FY,0,K$49)-IF(Dashboard!L$215&gt;Budget_Increase_FY,0,K$50)))+
IF(AND(Dashboard!L$215=Budget_Reduction_FY,Budget_Cut_Amount&lt;&gt;0),(K$49-(K$49*((J$29+J$30)/J$35)*Cut_Weight_Safety))*(J33/(SUM(J$28,J$31:J$34))),0)+
IF(AND(Budget_Increase_Amount&lt;&gt;0,Dashboard!L$215=Budget_Increase_FY),K$50*(J33/J$35),0),0)</f>
        <v>1054270.2933081069</v>
      </c>
      <c r="L33" s="263"/>
      <c r="M33" s="269">
        <f t="shared" si="49"/>
        <v>-0.14293870043421941</v>
      </c>
      <c r="N33" s="269">
        <f t="shared" si="50"/>
        <v>0.20365816312505625</v>
      </c>
      <c r="O33" s="269">
        <f t="shared" si="51"/>
        <v>-0.33560688304089314</v>
      </c>
      <c r="P33" s="269">
        <f t="shared" si="52"/>
        <v>0.63671371613761107</v>
      </c>
      <c r="Q33" s="269">
        <f t="shared" si="53"/>
        <v>5.6296743827539464E-2</v>
      </c>
      <c r="R33" s="269">
        <f t="shared" si="54"/>
        <v>3.3185226471419194E-2</v>
      </c>
      <c r="S33" s="269">
        <f t="shared" si="55"/>
        <v>1.7225880403737737E-2</v>
      </c>
      <c r="T33" s="269">
        <f t="shared" si="56"/>
        <v>3.7708197060949633E-2</v>
      </c>
      <c r="U33" s="269">
        <f t="shared" si="57"/>
        <v>3.7794001988215475E-2</v>
      </c>
    </row>
    <row r="34" spans="1:21">
      <c r="A34" s="277" t="str">
        <f>Dashboard!A105</f>
        <v>Non-Departmental</v>
      </c>
      <c r="B34" s="292">
        <f>'No Recession Forecast'!B32</f>
        <v>548185.93000000005</v>
      </c>
      <c r="C34" s="263">
        <f>'No Recession Forecast'!C32</f>
        <v>1982529</v>
      </c>
      <c r="D34" s="280">
        <f>IFERROR(Dashboard!E105*1000000+IF(AND(Dashboard!E$215=Budget_Reduction_FY,Budget_Cut_Amount&lt;&gt;0),(D$49-(D$49*((C$29+C$30)/C$35)*Cut_Weight_Safety))*(C34/(SUM(C$28,C$31:C$34))),0)+
IF(AND(Budget_Increase_Amount&lt;&gt;0,Dashboard!E$215=Budget_Increase_FY),D$50*(C34/C$35),0)*(C34/C$35*(D$52-IF(Dashboard!E$215&gt;Budget_Reduction_FY,0,D$49)-IF(Dashboard!E$215&gt;Budget_Increase_FY,0,D$50)))+
IF(AND(Dashboard!E$215=Budget_Reduction_FY,Budget_Cut_Amount&lt;&gt;0),(D$49-(D$49*((C$29+C$30)/C$35)*Cut_Weight_Safety))*(C34/(SUM(C$28,C$31:C$34))),0)+
IF(AND(Budget_Increase_Amount&lt;&gt;0,Dashboard!E$215=Budget_Increase_FY),D$50*(C34/C$35),0)+FY20_Add_only*1000000,0)</f>
        <v>750587.03</v>
      </c>
      <c r="E34" s="279">
        <f>IFERROR(IF(Bud_Calc=1,Dashboard!G105*1000000,Dashboard!F105*1000000)+IF(AND(Dashboard!F$215=Budget_Reduction_FY,Budget_Cut_Amount&lt;&gt;0),(E$49-(E$49*((D$29+D$30)/D$35)*Cut_Weight_Safety))*(D34/(SUM(D$28,D$31:D$34))),0)+E$50*(D34/D$35),0)</f>
        <v>0</v>
      </c>
      <c r="F34" s="278">
        <f>IFERROR((E34/E$35*(F$52-IF(Dashboard!G$215&gt;Budget_Reduction_FY,0,F$49)-IF(Dashboard!G$215&gt;Budget_Increase_FY,0,F$50)))+
IF(AND(Dashboard!G$215=Budget_Reduction_FY,Budget_Cut_Amount&lt;&gt;0),(F$49-(F$49*((E$29+E$30)/E$35)*Cut_Weight_Safety))*(E34/(SUM(E$28,E$31:E$34))),0)+
IF(AND(Budget_Increase_Amount&lt;&gt;0,Dashboard!G$215=Budget_Increase_FY),F$50*(E34/E$35),0),0)</f>
        <v>0</v>
      </c>
      <c r="G34" s="278">
        <f>IFERROR((F34/F$35*(G$52-IF(Dashboard!H$215&gt;Budget_Reduction_FY,0,G$49)-IF(Dashboard!H$215&gt;Budget_Increase_FY,0,G$50)))+
IF(AND(Dashboard!H$215=Budget_Reduction_FY,Budget_Cut_Amount&lt;&gt;0),(G$49-(G$49*((F$29+F$30)/F$35)*Cut_Weight_Safety))*(F34/(SUM(F$28,F$31:F$34))),0)+
IF(AND(Budget_Increase_Amount&lt;&gt;0,Dashboard!H$215=Budget_Increase_FY),G$50*(F34/F$35),0),0)</f>
        <v>0</v>
      </c>
      <c r="H34" s="278">
        <f>IFERROR((G34/G$35*(H$52-IF(Dashboard!I$215&gt;Budget_Reduction_FY,0,H$49)-IF(Dashboard!I$215&gt;Budget_Increase_FY,0,H$50)))+
IF(AND(Dashboard!I$215=Budget_Reduction_FY,Budget_Cut_Amount&lt;&gt;0),(H$49-(H$49*((G$29+G$30)/G$35)*Cut_Weight_Safety))*(G34/(SUM(G$28,G$31:G$34))),0)+
IF(AND(Budget_Increase_Amount&lt;&gt;0,Dashboard!I$215=Budget_Increase_FY),H$50*(G34/G$35),0),0)</f>
        <v>0</v>
      </c>
      <c r="I34" s="278">
        <f>IFERROR((H34/H$35*(I$52-IF(Dashboard!J$215&gt;Budget_Reduction_FY,0,I$49)-IF(Dashboard!J$215&gt;Budget_Increase_FY,0,I$50)))+
IF(AND(Dashboard!J$215=Budget_Reduction_FY,Budget_Cut_Amount&lt;&gt;0),(I$49-(I$49*((H$29+H$30)/H$35)*Cut_Weight_Safety))*(H34/(SUM(H$28,H$31:H$34))),0)+
IF(AND(Budget_Increase_Amount&lt;&gt;0,Dashboard!J$215=Budget_Increase_FY),I$50*(H34/H$35),0),0)</f>
        <v>0</v>
      </c>
      <c r="J34" s="278">
        <f>IFERROR((I34/I$35*(J$52-IF(Dashboard!K$215&gt;Budget_Reduction_FY,0,J$49)-IF(Dashboard!K$215&gt;Budget_Increase_FY,0,J$50)))+
IF(AND(Dashboard!K$215=Budget_Reduction_FY,Budget_Cut_Amount&lt;&gt;0),(J$49-(J$49*((I$29+I$30)/I$35)*Cut_Weight_Safety))*(I34/(SUM(I$28,I$31:I$34))),0)+
IF(AND(Budget_Increase_Amount&lt;&gt;0,Dashboard!K$215=Budget_Increase_FY),J$50*(I34/I$35),0),0)</f>
        <v>0</v>
      </c>
      <c r="K34" s="278">
        <f>IFERROR((J34/J$35*(K$52-IF(Dashboard!L$215&gt;Budget_Reduction_FY,0,K$49)-IF(Dashboard!L$215&gt;Budget_Increase_FY,0,K$50)))+
IF(AND(Dashboard!L$215=Budget_Reduction_FY,Budget_Cut_Amount&lt;&gt;0),(K$49-(K$49*((J$29+J$30)/J$35)*Cut_Weight_Safety))*(J34/(SUM(J$28,J$31:J$34))),0)+
IF(AND(Budget_Increase_Amount&lt;&gt;0,Dashboard!L$215=Budget_Increase_FY),K$50*(J34/J$35),0),0)</f>
        <v>0</v>
      </c>
      <c r="L34" s="263"/>
      <c r="M34" s="269">
        <f t="shared" si="49"/>
        <v>2.6165266043949722</v>
      </c>
      <c r="N34" s="269">
        <f t="shared" si="50"/>
        <v>-0.62139921786768315</v>
      </c>
      <c r="O34" s="269">
        <f t="shared" si="51"/>
        <v>-1</v>
      </c>
      <c r="P34" s="269">
        <f t="shared" si="52"/>
        <v>0</v>
      </c>
      <c r="Q34" s="269">
        <f t="shared" si="53"/>
        <v>0</v>
      </c>
      <c r="R34" s="269">
        <f t="shared" si="54"/>
        <v>0</v>
      </c>
      <c r="S34" s="269">
        <f t="shared" si="55"/>
        <v>0</v>
      </c>
      <c r="T34" s="269">
        <f t="shared" si="56"/>
        <v>0</v>
      </c>
      <c r="U34" s="269">
        <f t="shared" si="57"/>
        <v>0</v>
      </c>
    </row>
    <row r="35" spans="1:21" ht="15" thickBot="1">
      <c r="A35" s="264" t="s">
        <v>42</v>
      </c>
      <c r="B35" s="297">
        <f>SUM(B28:B34)</f>
        <v>12241582.82</v>
      </c>
      <c r="C35" s="272">
        <f t="shared" ref="C35:E35" si="58">SUM(C28:C34)</f>
        <v>14033824.300000001</v>
      </c>
      <c r="D35" s="272">
        <f t="shared" si="58"/>
        <v>13610404.859999999</v>
      </c>
      <c r="E35" s="272">
        <f t="shared" si="58"/>
        <v>8543974.4515999984</v>
      </c>
      <c r="F35" s="272">
        <f t="shared" ref="F35:K35" si="59">SUM(F28:F34)</f>
        <v>13984040.17526304</v>
      </c>
      <c r="G35" s="272">
        <f t="shared" si="59"/>
        <v>14771296.102683842</v>
      </c>
      <c r="H35" s="272">
        <f t="shared" si="59"/>
        <v>15261484.909127796</v>
      </c>
      <c r="I35" s="272">
        <f t="shared" si="59"/>
        <v>15524377.422955882</v>
      </c>
      <c r="J35" s="272">
        <f t="shared" si="59"/>
        <v>16109773.706069257</v>
      </c>
      <c r="K35" s="272">
        <f t="shared" si="59"/>
        <v>16718626.525546143</v>
      </c>
      <c r="L35" s="263"/>
      <c r="M35" s="273">
        <f t="shared" si="49"/>
        <v>0.14640602496859145</v>
      </c>
      <c r="N35" s="273">
        <f t="shared" si="50"/>
        <v>-3.0171351083539077E-2</v>
      </c>
      <c r="O35" s="273">
        <f t="shared" si="51"/>
        <v>-0.37224685529303214</v>
      </c>
      <c r="P35" s="273">
        <f t="shared" si="52"/>
        <v>0.63671371613761085</v>
      </c>
      <c r="Q35" s="273">
        <f t="shared" si="53"/>
        <v>5.6296743827539464E-2</v>
      </c>
      <c r="R35" s="273">
        <f t="shared" si="54"/>
        <v>3.3185226471419194E-2</v>
      </c>
      <c r="S35" s="273">
        <f t="shared" si="55"/>
        <v>1.7225880403737959E-2</v>
      </c>
      <c r="T35" s="273">
        <f t="shared" si="56"/>
        <v>3.7708197060949411E-2</v>
      </c>
      <c r="U35" s="273">
        <f t="shared" si="57"/>
        <v>3.7794001988215697E-2</v>
      </c>
    </row>
    <row r="36" spans="1:21" ht="15" thickTop="1">
      <c r="A36" s="282"/>
      <c r="B36" s="292"/>
      <c r="C36" s="263"/>
      <c r="D36" s="263"/>
      <c r="E36" s="263"/>
      <c r="F36" s="263"/>
      <c r="G36" s="263"/>
      <c r="H36" s="263"/>
      <c r="I36" s="263"/>
      <c r="J36" s="263"/>
      <c r="K36" s="263"/>
      <c r="L36" s="263"/>
      <c r="M36" s="275"/>
      <c r="N36" s="275"/>
      <c r="O36" s="275"/>
      <c r="P36" s="275"/>
      <c r="Q36" s="275"/>
      <c r="R36" s="275"/>
      <c r="S36" s="275"/>
      <c r="T36" s="275"/>
      <c r="U36" s="275"/>
    </row>
    <row r="37" spans="1:21">
      <c r="A37" s="277" t="str">
        <f>Dashboard!H94</f>
        <v>Salaries/Add-Pays/Incentives</v>
      </c>
      <c r="B37" s="292">
        <f>'No Recession Forecast'!B35</f>
        <v>2643100</v>
      </c>
      <c r="C37" s="263">
        <f>'No Recession Forecast'!C35</f>
        <v>2857500</v>
      </c>
      <c r="D37" s="267">
        <f>Dashboard!L94*1000000</f>
        <v>3164055</v>
      </c>
      <c r="E37" s="268">
        <f>IF(Bud_Calc=1,Dashboard!N94*1000000,Dashboard!M94*1000000)</f>
        <v>3290617.1999999997</v>
      </c>
      <c r="F37" s="284">
        <f>E37*IF(Salary_Growth_Option=0,(1+Dashboard!I$111),(1+Dashboard!H$134))</f>
        <v>3422241.8879999998</v>
      </c>
      <c r="G37" s="284">
        <f>F37*IF(Salary_Growth_Option=0,(1+Dashboard!J$111),(1+Dashboard!I$134))</f>
        <v>3559131.5635199999</v>
      </c>
      <c r="H37" s="284">
        <f>G37*IF(Salary_Growth_Option=0,(1+Dashboard!K$111),(1+Dashboard!J$134))</f>
        <v>3701496.8260607999</v>
      </c>
      <c r="I37" s="284">
        <f>H37*IF(Salary_Growth_Option=0,(1+Dashboard!L$111),(1+Dashboard!K$134))</f>
        <v>3849556.699103232</v>
      </c>
      <c r="J37" s="284">
        <f>I37*IF(Salary_Growth_Option=0,(1+Dashboard!M$111),(1+Dashboard!L$134))</f>
        <v>4003538.9670673613</v>
      </c>
      <c r="K37" s="284">
        <f>J37*IF(Salary_Growth_Option=0,(1+Dashboard!N$111),(1+Dashboard!M$134))</f>
        <v>4163680.5257500559</v>
      </c>
      <c r="L37" s="263"/>
      <c r="M37" s="269">
        <f t="shared" si="49"/>
        <v>8.1116870341644276E-2</v>
      </c>
      <c r="N37" s="269">
        <f t="shared" si="50"/>
        <v>0.10728083989501314</v>
      </c>
      <c r="O37" s="269">
        <f t="shared" si="51"/>
        <v>3.9999999999999813E-2</v>
      </c>
      <c r="P37" s="269">
        <f t="shared" si="52"/>
        <v>4.0000000000000036E-2</v>
      </c>
      <c r="Q37" s="269">
        <f t="shared" si="53"/>
        <v>4.0000000000000036E-2</v>
      </c>
      <c r="R37" s="269">
        <f t="shared" si="54"/>
        <v>4.0000000000000036E-2</v>
      </c>
      <c r="S37" s="269">
        <f t="shared" si="55"/>
        <v>4.0000000000000036E-2</v>
      </c>
      <c r="T37" s="269">
        <f t="shared" si="56"/>
        <v>4.0000000000000036E-2</v>
      </c>
      <c r="U37" s="269">
        <f t="shared" si="57"/>
        <v>4.0000000000000036E-2</v>
      </c>
    </row>
    <row r="38" spans="1:21">
      <c r="A38" s="277" t="str">
        <f>Dashboard!H95</f>
        <v>Overtime/Part-time</v>
      </c>
      <c r="B38" s="292">
        <f>'No Recession Forecast'!B36</f>
        <v>0</v>
      </c>
      <c r="C38" s="263">
        <f>'No Recession Forecast'!C36</f>
        <v>0</v>
      </c>
      <c r="D38" s="267">
        <f>Dashboard!L95*1000000</f>
        <v>0</v>
      </c>
      <c r="E38" s="268">
        <f>IF(Bud_Calc=1,Dashboard!N95*1000000,Dashboard!M95*1000000)</f>
        <v>0</v>
      </c>
      <c r="F38" s="284">
        <f>E38*IF(Salary_Growth_Option=0,(1+Dashboard!I$111),(1+Dashboard!H$134))</f>
        <v>0</v>
      </c>
      <c r="G38" s="284">
        <f>F38*IF(Salary_Growth_Option=0,(1+Dashboard!J$111),(1+Dashboard!I$134))</f>
        <v>0</v>
      </c>
      <c r="H38" s="284">
        <f>G38*IF(Salary_Growth_Option=0,(1+Dashboard!K$111),(1+Dashboard!J$134))</f>
        <v>0</v>
      </c>
      <c r="I38" s="284">
        <f>H38*IF(Salary_Growth_Option=0,(1+Dashboard!L$111),(1+Dashboard!K$134))</f>
        <v>0</v>
      </c>
      <c r="J38" s="284">
        <f>I38*IF(Salary_Growth_Option=0,(1+Dashboard!M$111),(1+Dashboard!L$134))</f>
        <v>0</v>
      </c>
      <c r="K38" s="284">
        <f>J38*IF(Salary_Growth_Option=0,(1+Dashboard!N$111),(1+Dashboard!M$134))</f>
        <v>0</v>
      </c>
      <c r="L38" s="263"/>
      <c r="M38" s="269">
        <f t="shared" si="49"/>
        <v>0</v>
      </c>
      <c r="N38" s="269">
        <f t="shared" si="50"/>
        <v>0</v>
      </c>
      <c r="O38" s="269">
        <f t="shared" si="51"/>
        <v>0</v>
      </c>
      <c r="P38" s="269">
        <f t="shared" si="52"/>
        <v>0</v>
      </c>
      <c r="Q38" s="269">
        <f t="shared" si="53"/>
        <v>0</v>
      </c>
      <c r="R38" s="269">
        <f t="shared" si="54"/>
        <v>0</v>
      </c>
      <c r="S38" s="269">
        <f t="shared" si="55"/>
        <v>0</v>
      </c>
      <c r="T38" s="269">
        <f t="shared" si="56"/>
        <v>0</v>
      </c>
      <c r="U38" s="269">
        <f t="shared" si="57"/>
        <v>0</v>
      </c>
    </row>
    <row r="39" spans="1:21">
      <c r="A39" s="277" t="str">
        <f>Dashboard!H96</f>
        <v>Retirement</v>
      </c>
      <c r="B39" s="292">
        <f>'No Recession Forecast'!B37</f>
        <v>0</v>
      </c>
      <c r="C39" s="263">
        <f>'No Recession Forecast'!C37</f>
        <v>0</v>
      </c>
      <c r="D39" s="267">
        <f>Dashboard!L96*1000000</f>
        <v>0</v>
      </c>
      <c r="E39" s="268">
        <f>IF(Bud_Calc=1,Dashboard!N96*1000000,Dashboard!M96*1000000)</f>
        <v>0</v>
      </c>
      <c r="F39" s="280">
        <f>IF(Pension_Growth_Option=1,F37*Police_sworn*Dashboard!H138+F37*Fire_sworn*Dashboard!H139+F37*Misc_all_other*Dashboard!H140,E39*(1+Dashboard!I$113))</f>
        <v>0</v>
      </c>
      <c r="G39" s="280">
        <f>IF(Pension_Growth_Option=1,G37*Police_sworn*Dashboard!I138+G37*Fire_sworn*Dashboard!I139+G37*Misc_all_other*Dashboard!I140,F39*(1+Dashboard!J$113))</f>
        <v>0</v>
      </c>
      <c r="H39" s="280">
        <f>IF(Pension_Growth_Option=1,H37*Police_sworn*Dashboard!J138+H37*Fire_sworn*Dashboard!J139+H37*Misc_all_other*Dashboard!J140,G39*(1+Dashboard!K$113))</f>
        <v>0</v>
      </c>
      <c r="I39" s="280">
        <f>IF(Pension_Growth_Option=1,I37*Police_sworn*Dashboard!K138+I37*Fire_sworn*Dashboard!K139+I37*Misc_all_other*Dashboard!K140,H39*(1+Dashboard!L$113))</f>
        <v>0</v>
      </c>
      <c r="J39" s="280">
        <f>IF(Pension_Growth_Option=1,J37*Police_sworn*Dashboard!L138+J37*Fire_sworn*Dashboard!L139+J37*Misc_all_other*Dashboard!L140,I39*(1+Dashboard!M$113))</f>
        <v>0</v>
      </c>
      <c r="K39" s="280">
        <f>IF(Pension_Growth_Option=1,K37*Police_sworn*Dashboard!M138+K37*Fire_sworn*Dashboard!M139+K37*Misc_all_other*Dashboard!M140,J39*(1+Dashboard!N$113))</f>
        <v>0</v>
      </c>
      <c r="L39" s="263"/>
      <c r="M39" s="269">
        <f t="shared" si="49"/>
        <v>0</v>
      </c>
      <c r="N39" s="269">
        <f t="shared" si="50"/>
        <v>0</v>
      </c>
      <c r="O39" s="269">
        <f t="shared" si="51"/>
        <v>0</v>
      </c>
      <c r="P39" s="269">
        <f t="shared" si="52"/>
        <v>0</v>
      </c>
      <c r="Q39" s="269">
        <f t="shared" si="53"/>
        <v>0</v>
      </c>
      <c r="R39" s="269">
        <f t="shared" si="54"/>
        <v>0</v>
      </c>
      <c r="S39" s="269">
        <f t="shared" si="55"/>
        <v>0</v>
      </c>
      <c r="T39" s="269">
        <f t="shared" si="56"/>
        <v>0</v>
      </c>
      <c r="U39" s="269">
        <f t="shared" si="57"/>
        <v>0</v>
      </c>
    </row>
    <row r="40" spans="1:21">
      <c r="A40" s="277" t="str">
        <f>Dashboard!H97</f>
        <v>Health</v>
      </c>
      <c r="B40" s="292">
        <f>'No Recession Forecast'!B38</f>
        <v>0</v>
      </c>
      <c r="C40" s="263">
        <f>'No Recession Forecast'!C38</f>
        <v>0</v>
      </c>
      <c r="D40" s="267">
        <f>Dashboard!L97*1000000</f>
        <v>0</v>
      </c>
      <c r="E40" s="268">
        <f>IF(Bud_Calc=1,Dashboard!N97*1000000,Dashboard!M97*1000000)</f>
        <v>0</v>
      </c>
      <c r="F40" s="284">
        <f>E40*(1+Dashboard!I114)</f>
        <v>0</v>
      </c>
      <c r="G40" s="284">
        <f>F40*(1+Dashboard!J114)</f>
        <v>0</v>
      </c>
      <c r="H40" s="284">
        <f>G40*(1+Dashboard!K114)</f>
        <v>0</v>
      </c>
      <c r="I40" s="284">
        <f>H40*(1+Dashboard!L114)</f>
        <v>0</v>
      </c>
      <c r="J40" s="284">
        <f>I40*(1+Dashboard!M114)</f>
        <v>0</v>
      </c>
      <c r="K40" s="284">
        <f>J40*(1+Dashboard!N114)</f>
        <v>0</v>
      </c>
      <c r="L40" s="263"/>
      <c r="M40" s="269">
        <f t="shared" si="49"/>
        <v>0</v>
      </c>
      <c r="N40" s="269">
        <f t="shared" si="50"/>
        <v>0</v>
      </c>
      <c r="O40" s="269">
        <f t="shared" si="51"/>
        <v>0</v>
      </c>
      <c r="P40" s="269">
        <f t="shared" si="52"/>
        <v>0</v>
      </c>
      <c r="Q40" s="269">
        <f t="shared" si="53"/>
        <v>0</v>
      </c>
      <c r="R40" s="269">
        <f t="shared" si="54"/>
        <v>0</v>
      </c>
      <c r="S40" s="269">
        <f t="shared" si="55"/>
        <v>0</v>
      </c>
      <c r="T40" s="269">
        <f t="shared" si="56"/>
        <v>0</v>
      </c>
      <c r="U40" s="269">
        <f t="shared" si="57"/>
        <v>0</v>
      </c>
    </row>
    <row r="41" spans="1:21">
      <c r="A41" s="277" t="str">
        <f>Dashboard!H98</f>
        <v>Other Benefits</v>
      </c>
      <c r="B41" s="292">
        <f>'No Recession Forecast'!B39</f>
        <v>984181.82</v>
      </c>
      <c r="C41" s="263">
        <f>'No Recession Forecast'!C39</f>
        <v>1098146.2999999998</v>
      </c>
      <c r="D41" s="267">
        <f>Dashboard!L98*1000000</f>
        <v>1121806.8599999999</v>
      </c>
      <c r="E41" s="268">
        <f>IF(Bud_Calc=1,Dashboard!N98*1000000,Dashboard!M98*1000000)</f>
        <v>1189115.2715999999</v>
      </c>
      <c r="F41" s="284">
        <f>E41*(1+Dashboard!I115)</f>
        <v>1260462.187896</v>
      </c>
      <c r="G41" s="284">
        <f>F41*(1+Dashboard!J115)</f>
        <v>1336089.9191697601</v>
      </c>
      <c r="H41" s="284">
        <f>G41*(1+Dashboard!K115)</f>
        <v>1416255.3143199456</v>
      </c>
      <c r="I41" s="284">
        <f>H41*(1+Dashboard!L115)</f>
        <v>1501230.6331791424</v>
      </c>
      <c r="J41" s="284">
        <f>I41*(1+Dashboard!M115)</f>
        <v>1591304.4711698911</v>
      </c>
      <c r="K41" s="284">
        <f>J41*(1+Dashboard!N115)</f>
        <v>1686782.7394400847</v>
      </c>
      <c r="L41" s="263"/>
      <c r="M41" s="269">
        <f t="shared" si="49"/>
        <v>0.11579616457454978</v>
      </c>
      <c r="N41" s="269">
        <f t="shared" si="50"/>
        <v>2.1545908773721756E-2</v>
      </c>
      <c r="O41" s="269">
        <f t="shared" si="51"/>
        <v>6.0000000000000053E-2</v>
      </c>
      <c r="P41" s="269">
        <f t="shared" si="52"/>
        <v>6.0000000000000053E-2</v>
      </c>
      <c r="Q41" s="269">
        <f t="shared" si="53"/>
        <v>6.0000000000000053E-2</v>
      </c>
      <c r="R41" s="269">
        <f t="shared" si="54"/>
        <v>6.0000000000000053E-2</v>
      </c>
      <c r="S41" s="269">
        <f t="shared" si="55"/>
        <v>6.0000000000000053E-2</v>
      </c>
      <c r="T41" s="269">
        <f t="shared" si="56"/>
        <v>6.0000000000000053E-2</v>
      </c>
      <c r="U41" s="269">
        <f t="shared" si="57"/>
        <v>6.0000000000000053E-2</v>
      </c>
    </row>
    <row r="42" spans="1:21">
      <c r="A42" s="277" t="str">
        <f>Dashboard!H99</f>
        <v>Expense Credits/Savings</v>
      </c>
      <c r="B42" s="292">
        <f>'No Recession Forecast'!B40</f>
        <v>0</v>
      </c>
      <c r="C42" s="263">
        <f>'No Recession Forecast'!C40</f>
        <v>0</v>
      </c>
      <c r="D42" s="267">
        <f>Dashboard!L99*1000000</f>
        <v>0</v>
      </c>
      <c r="E42" s="268">
        <f>IF(Bud_Calc=1,Dashboard!N99*1000000,Dashboard!M99*1000000)</f>
        <v>0</v>
      </c>
      <c r="F42" s="284">
        <f>E42*(1+Dashboard!I116)</f>
        <v>0</v>
      </c>
      <c r="G42" s="284">
        <f>F42*(1+Dashboard!J116)</f>
        <v>0</v>
      </c>
      <c r="H42" s="284">
        <f>G42*(1+Dashboard!K116)</f>
        <v>0</v>
      </c>
      <c r="I42" s="284">
        <f>H42*(1+Dashboard!L116)</f>
        <v>0</v>
      </c>
      <c r="J42" s="284">
        <f>I42*(1+Dashboard!M116)</f>
        <v>0</v>
      </c>
      <c r="K42" s="284">
        <f>J42*(1+Dashboard!N116)</f>
        <v>0</v>
      </c>
      <c r="L42" s="263"/>
      <c r="M42" s="269">
        <f t="shared" si="49"/>
        <v>0</v>
      </c>
      <c r="N42" s="269">
        <f t="shared" si="50"/>
        <v>0</v>
      </c>
      <c r="O42" s="269">
        <f t="shared" si="51"/>
        <v>0</v>
      </c>
      <c r="P42" s="269">
        <f t="shared" si="52"/>
        <v>0</v>
      </c>
      <c r="Q42" s="269">
        <f t="shared" si="53"/>
        <v>0</v>
      </c>
      <c r="R42" s="269">
        <f t="shared" si="54"/>
        <v>0</v>
      </c>
      <c r="S42" s="269">
        <f t="shared" si="55"/>
        <v>0</v>
      </c>
      <c r="T42" s="269">
        <f t="shared" si="56"/>
        <v>0</v>
      </c>
      <c r="U42" s="269">
        <f t="shared" si="57"/>
        <v>0</v>
      </c>
    </row>
    <row r="43" spans="1:21">
      <c r="A43" s="277" t="str">
        <f>Dashboard!H100</f>
        <v xml:space="preserve">   Total Personnel</v>
      </c>
      <c r="B43" s="300">
        <f>SUM(B37:B42)</f>
        <v>3627281.82</v>
      </c>
      <c r="C43" s="300">
        <f t="shared" ref="C43:K43" si="60">SUM(C37:C42)</f>
        <v>3955646.3</v>
      </c>
      <c r="D43" s="285">
        <f t="shared" si="60"/>
        <v>4285861.8599999994</v>
      </c>
      <c r="E43" s="285">
        <f t="shared" si="60"/>
        <v>4479732.4715999998</v>
      </c>
      <c r="F43" s="285">
        <f t="shared" si="60"/>
        <v>4682704.0758959996</v>
      </c>
      <c r="G43" s="285">
        <f t="shared" si="60"/>
        <v>4895221.4826897597</v>
      </c>
      <c r="H43" s="285">
        <f t="shared" si="60"/>
        <v>5117752.1403807458</v>
      </c>
      <c r="I43" s="285">
        <f t="shared" si="60"/>
        <v>5350787.3322823746</v>
      </c>
      <c r="J43" s="285">
        <f t="shared" si="60"/>
        <v>5594843.4382372526</v>
      </c>
      <c r="K43" s="285">
        <f t="shared" si="60"/>
        <v>5850463.2651901403</v>
      </c>
      <c r="L43" s="263"/>
      <c r="M43" s="269">
        <f t="shared" si="49"/>
        <v>9.0526321442539581E-2</v>
      </c>
      <c r="N43" s="269">
        <f t="shared" si="50"/>
        <v>8.347954669253399E-2</v>
      </c>
      <c r="O43" s="269">
        <f t="shared" si="51"/>
        <v>4.523491842081917E-2</v>
      </c>
      <c r="P43" s="269">
        <f t="shared" si="52"/>
        <v>4.5308867344818315E-2</v>
      </c>
      <c r="Q43" s="269">
        <f t="shared" si="53"/>
        <v>4.5383480004146159E-2</v>
      </c>
      <c r="R43" s="269">
        <f t="shared" si="54"/>
        <v>4.5458751657690755E-2</v>
      </c>
      <c r="S43" s="269">
        <f t="shared" si="55"/>
        <v>4.5534677239037258E-2</v>
      </c>
      <c r="T43" s="269">
        <f t="shared" si="56"/>
        <v>4.5611251354064963E-2</v>
      </c>
      <c r="U43" s="269">
        <f t="shared" si="57"/>
        <v>4.5688468278823668E-2</v>
      </c>
    </row>
    <row r="44" spans="1:21">
      <c r="A44" s="277" t="str">
        <f>Dashboard!H101</f>
        <v>Contracted Police Services</v>
      </c>
      <c r="B44" s="292">
        <f>'No Recession Forecast'!B42</f>
        <v>3432163</v>
      </c>
      <c r="C44" s="263">
        <f>'No Recession Forecast'!C42</f>
        <v>3472459</v>
      </c>
      <c r="D44" s="267">
        <f>Dashboard!L101*1000000</f>
        <v>3782680</v>
      </c>
      <c r="E44" s="268">
        <f>IF(Bud_Calc=1,Dashboard!N101*1000000,Dashboard!M101*1000000)</f>
        <v>3933987.2</v>
      </c>
      <c r="F44" s="284">
        <f>E44*(1+Dashboard!I117)</f>
        <v>4091346.6880000005</v>
      </c>
      <c r="G44" s="284">
        <f>F44*(1+Dashboard!J117)</f>
        <v>4255000.5555200009</v>
      </c>
      <c r="H44" s="284">
        <f>G44*(1+Dashboard!K117)</f>
        <v>4425200.5777408015</v>
      </c>
      <c r="I44" s="284">
        <f>H44*(1+Dashboard!L117)</f>
        <v>4602208.600850434</v>
      </c>
      <c r="J44" s="284">
        <f>I44*(1+Dashboard!M117)</f>
        <v>4786296.9448844511</v>
      </c>
      <c r="K44" s="284">
        <f>J44*(1+Dashboard!N117)</f>
        <v>4977748.8226798298</v>
      </c>
      <c r="L44" s="263"/>
      <c r="M44" s="269">
        <f t="shared" ref="M44" si="61">IFERROR(C44/B44-1,0)</f>
        <v>1.1740701126374153E-2</v>
      </c>
      <c r="N44" s="269">
        <f t="shared" ref="N44" si="62">IFERROR(D44/C44-1,0)</f>
        <v>8.9337555893388432E-2</v>
      </c>
      <c r="O44" s="269">
        <f t="shared" ref="O44" si="63">IFERROR(E44/D44-1,0)</f>
        <v>4.0000000000000036E-2</v>
      </c>
      <c r="P44" s="269">
        <f t="shared" ref="P44" si="64">IFERROR(F44/E44-1,0)</f>
        <v>4.0000000000000036E-2</v>
      </c>
      <c r="Q44" s="269">
        <f t="shared" ref="Q44" si="65">IFERROR(G44/F44-1,0)</f>
        <v>4.0000000000000036E-2</v>
      </c>
      <c r="R44" s="269">
        <f t="shared" ref="R44" si="66">IFERROR(H44/G44-1,0)</f>
        <v>4.0000000000000036E-2</v>
      </c>
      <c r="S44" s="269">
        <f t="shared" ref="S44" si="67">IFERROR(I44/H44-1,0)</f>
        <v>4.0000000000000036E-2</v>
      </c>
      <c r="T44" s="269">
        <f t="shared" ref="T44" si="68">IFERROR(J44/I44-1,0)</f>
        <v>4.0000000000000036E-2</v>
      </c>
      <c r="U44" s="269">
        <f t="shared" ref="U44" si="69">IFERROR(K44/J44-1,0)</f>
        <v>4.0000000000000036E-2</v>
      </c>
    </row>
    <row r="45" spans="1:21">
      <c r="A45" s="277" t="str">
        <f>Dashboard!H102</f>
        <v>Non-Personnel Operations</v>
      </c>
      <c r="B45" s="292">
        <f>'No Recession Forecast'!B43</f>
        <v>4530610.9999999991</v>
      </c>
      <c r="C45" s="263">
        <f>'No Recession Forecast'!C43</f>
        <v>3982113.9999999995</v>
      </c>
      <c r="D45" s="267">
        <f>Dashboard!L102*1000000</f>
        <v>3945865.9999999995</v>
      </c>
      <c r="E45" s="268">
        <f>IF(Bud_Calc=1,Dashboard!N102*1000000,Dashboard!M102*1000000)</f>
        <v>4064241.9799999995</v>
      </c>
      <c r="F45" s="284">
        <f>E45*(1+Dashboard!I118)</f>
        <v>4186169.2393999994</v>
      </c>
      <c r="G45" s="284">
        <f>F45*(1+Dashboard!J118)</f>
        <v>4311754.3165819999</v>
      </c>
      <c r="H45" s="284">
        <f>G45*(1+Dashboard!K118)</f>
        <v>4441106.94607946</v>
      </c>
      <c r="I45" s="284">
        <f>H45*(1+Dashboard!L118)</f>
        <v>4574340.1544618439</v>
      </c>
      <c r="J45" s="284">
        <f>I45*(1+Dashboard!M118)</f>
        <v>4711570.3590956992</v>
      </c>
      <c r="K45" s="284">
        <f>J45*(1+Dashboard!N118)</f>
        <v>4852917.4698685706</v>
      </c>
      <c r="L45" s="263"/>
      <c r="M45" s="269">
        <f t="shared" si="49"/>
        <v>-0.12106468641867507</v>
      </c>
      <c r="N45" s="269">
        <f t="shared" si="50"/>
        <v>-9.1027027352807988E-3</v>
      </c>
      <c r="O45" s="269">
        <f t="shared" si="51"/>
        <v>3.0000000000000027E-2</v>
      </c>
      <c r="P45" s="269">
        <f t="shared" si="52"/>
        <v>3.0000000000000027E-2</v>
      </c>
      <c r="Q45" s="269">
        <f t="shared" si="53"/>
        <v>3.0000000000000027E-2</v>
      </c>
      <c r="R45" s="269">
        <f t="shared" si="54"/>
        <v>3.0000000000000027E-2</v>
      </c>
      <c r="S45" s="269">
        <f t="shared" si="55"/>
        <v>3.0000000000000027E-2</v>
      </c>
      <c r="T45" s="269">
        <f t="shared" si="56"/>
        <v>3.0000000000000027E-2</v>
      </c>
      <c r="U45" s="269">
        <f t="shared" si="57"/>
        <v>3.0000000000000027E-2</v>
      </c>
    </row>
    <row r="46" spans="1:21">
      <c r="A46" s="277" t="str">
        <f>Dashboard!H103</f>
        <v>Debt Service/Tfrs-Debt Svc</v>
      </c>
      <c r="B46" s="292">
        <f>'No Recession Forecast'!B44</f>
        <v>0</v>
      </c>
      <c r="C46" s="263">
        <f>'No Recession Forecast'!C44</f>
        <v>0</v>
      </c>
      <c r="D46" s="267">
        <f>Dashboard!L103*1000000</f>
        <v>0</v>
      </c>
      <c r="E46" s="280">
        <f>IF(Debt_Growth_Option=0,D46*(1+Dashboard!H$119),SUM(Dashboard!G$144:G$148)*1000000)</f>
        <v>239400</v>
      </c>
      <c r="F46" s="280">
        <f>IF(Debt_Growth_Option=0,E46*(1+Dashboard!I$119),SUM(Dashboard!H$144:H$148)*1000000)</f>
        <v>239400</v>
      </c>
      <c r="G46" s="280">
        <f>IF(Debt_Growth_Option=0,F46*(1+Dashboard!J$119),SUM(Dashboard!I$144:I$148)*1000000)</f>
        <v>239400</v>
      </c>
      <c r="H46" s="280">
        <f>IF(Debt_Growth_Option=0,G46*(1+Dashboard!K$119),SUM(Dashboard!J$144:J$148)*1000000)</f>
        <v>239400</v>
      </c>
      <c r="I46" s="280">
        <f>IF(Debt_Growth_Option=0,H46*(1+Dashboard!L$119),SUM(Dashboard!K$144:K$148)*1000000)</f>
        <v>239400</v>
      </c>
      <c r="J46" s="280">
        <f>IF(Debt_Growth_Option=0,I46*(1+Dashboard!M$119),SUM(Dashboard!L$144:L$148)*1000000)</f>
        <v>239400</v>
      </c>
      <c r="K46" s="280">
        <f>IF(Debt_Growth_Option=0,J46*(1+Dashboard!N$119),SUM(Dashboard!M$144:M$148)*1000000)</f>
        <v>239400</v>
      </c>
      <c r="L46" s="263"/>
      <c r="M46" s="269">
        <f t="shared" si="49"/>
        <v>0</v>
      </c>
      <c r="N46" s="269">
        <f t="shared" si="50"/>
        <v>0</v>
      </c>
      <c r="O46" s="269">
        <f t="shared" si="51"/>
        <v>0</v>
      </c>
      <c r="P46" s="269">
        <f t="shared" si="52"/>
        <v>0</v>
      </c>
      <c r="Q46" s="269">
        <f t="shared" si="53"/>
        <v>0</v>
      </c>
      <c r="R46" s="269">
        <f t="shared" si="54"/>
        <v>0</v>
      </c>
      <c r="S46" s="269">
        <f t="shared" si="55"/>
        <v>0</v>
      </c>
      <c r="T46" s="269">
        <f t="shared" si="56"/>
        <v>0</v>
      </c>
      <c r="U46" s="269">
        <f t="shared" si="57"/>
        <v>0</v>
      </c>
    </row>
    <row r="47" spans="1:21">
      <c r="A47" s="277" t="str">
        <f>Dashboard!H104</f>
        <v>Capital/Tfrs to Cap Projs</v>
      </c>
      <c r="B47" s="292">
        <f>'No Recession Forecast'!B45</f>
        <v>651527</v>
      </c>
      <c r="C47" s="263">
        <f>'No Recession Forecast'!C45</f>
        <v>2623605</v>
      </c>
      <c r="D47" s="267">
        <f>Dashboard!L104*1000000</f>
        <v>1595997</v>
      </c>
      <c r="E47" s="280">
        <f>IF(Capital_Growth_Option=0,D47*(1+Dashboard!H$120),SUM(Dashboard!G$153:G$157)*1000000)</f>
        <v>820050</v>
      </c>
      <c r="F47" s="280">
        <f>IF(Capital_Growth_Option=0,E47*(1+Dashboard!I$120),SUM(Dashboard!H$153:H$157)*1000000)</f>
        <v>922642.79999999993</v>
      </c>
      <c r="G47" s="280">
        <f>IF(Capital_Growth_Option=0,F47*(1+Dashboard!J$120),SUM(Dashboard!I$153:I$157)*1000000)</f>
        <v>1216094.456</v>
      </c>
      <c r="H47" s="280">
        <f>IF(Capital_Growth_Option=0,G47*(1+Dashboard!K$120),SUM(Dashboard!J$153:J$157)*1000000)</f>
        <v>1189151.35512</v>
      </c>
      <c r="I47" s="280">
        <f>IF(Capital_Growth_Option=0,H47*(1+Dashboard!L$120),SUM(Dashboard!K$153:K$157)*1000000)</f>
        <v>1214453.2285224001</v>
      </c>
      <c r="J47" s="280">
        <f>IF(Capital_Growth_Option=0,I47*(1+Dashboard!M$120),SUM(Dashboard!L$153:L$157)*1000000)</f>
        <v>1240387.950781848</v>
      </c>
      <c r="K47" s="280">
        <f>IF(Capital_Growth_Option=0,J47*(1+Dashboard!N$120),SUM(Dashboard!M$153:M$157)*1000000)</f>
        <v>1266971.9832171549</v>
      </c>
      <c r="L47" s="263"/>
      <c r="M47" s="269">
        <f t="shared" si="49"/>
        <v>3.0268553720720703</v>
      </c>
      <c r="N47" s="269">
        <f t="shared" si="50"/>
        <v>-0.39167786309295793</v>
      </c>
      <c r="O47" s="269">
        <f t="shared" si="51"/>
        <v>-0.48618324470534724</v>
      </c>
      <c r="P47" s="269">
        <f t="shared" si="52"/>
        <v>0.12510554234497895</v>
      </c>
      <c r="Q47" s="269">
        <f t="shared" si="53"/>
        <v>0.3180555421881579</v>
      </c>
      <c r="R47" s="269">
        <f t="shared" si="54"/>
        <v>-2.2155434347280734E-2</v>
      </c>
      <c r="S47" s="269">
        <f t="shared" si="55"/>
        <v>2.1277252297161819E-2</v>
      </c>
      <c r="T47" s="269">
        <f t="shared" si="56"/>
        <v>2.1355060574051121E-2</v>
      </c>
      <c r="U47" s="269">
        <f t="shared" si="57"/>
        <v>2.1432030534116464E-2</v>
      </c>
    </row>
    <row r="48" spans="1:21">
      <c r="A48" s="277" t="str">
        <f>Dashboard!H105</f>
        <v>Transfers Out to Other Funds</v>
      </c>
      <c r="B48" s="292">
        <f>'No Recession Forecast'!B46</f>
        <v>0</v>
      </c>
      <c r="C48" s="263">
        <f>'No Recession Forecast'!C46</f>
        <v>0</v>
      </c>
      <c r="D48" s="267">
        <f>Dashboard!L105*1000000</f>
        <v>0</v>
      </c>
      <c r="E48" s="268">
        <f>IF(Bud_Calc=1,Dashboard!N105*1000000,Dashboard!M105*1000000)</f>
        <v>0</v>
      </c>
      <c r="F48" s="280">
        <f>IF(Other_Transfers_Growth_Option=0,E48*(1+Dashboard!I$121),SUM(Dashboard!H$162:H$168)*1000000)</f>
        <v>0</v>
      </c>
      <c r="G48" s="280">
        <f>IF(Other_Transfers_Growth_Option=0,F48*(1+Dashboard!J$121),SUM(Dashboard!I$162:I$168)*1000000)</f>
        <v>0</v>
      </c>
      <c r="H48" s="280">
        <f>IF(Other_Transfers_Growth_Option=0,G48*(1+Dashboard!K$121),SUM(Dashboard!J$162:J$168)*1000000)</f>
        <v>0</v>
      </c>
      <c r="I48" s="280">
        <f>IF(Other_Transfers_Growth_Option=0,H48*(1+Dashboard!L$121),SUM(Dashboard!K$162:K$168)*1000000)</f>
        <v>0</v>
      </c>
      <c r="J48" s="280">
        <f>IF(Other_Transfers_Growth_Option=0,I48*(1+Dashboard!M$121),SUM(Dashboard!L$162:L$168)*1000000)</f>
        <v>0</v>
      </c>
      <c r="K48" s="280">
        <f>IF(Other_Transfers_Growth_Option=0,J48*(1+Dashboard!N$121),SUM(Dashboard!M$162:M$168)*1000000)</f>
        <v>0</v>
      </c>
      <c r="L48" s="263"/>
      <c r="M48" s="269">
        <f t="shared" si="49"/>
        <v>0</v>
      </c>
      <c r="N48" s="269">
        <f t="shared" si="50"/>
        <v>0</v>
      </c>
      <c r="O48" s="269">
        <f t="shared" si="51"/>
        <v>0</v>
      </c>
      <c r="P48" s="269">
        <f t="shared" si="52"/>
        <v>0</v>
      </c>
      <c r="Q48" s="269">
        <f t="shared" si="53"/>
        <v>0</v>
      </c>
      <c r="R48" s="269">
        <f t="shared" si="54"/>
        <v>0</v>
      </c>
      <c r="S48" s="269">
        <f t="shared" si="55"/>
        <v>0</v>
      </c>
      <c r="T48" s="269">
        <f t="shared" si="56"/>
        <v>0</v>
      </c>
      <c r="U48" s="269">
        <f t="shared" si="57"/>
        <v>0</v>
      </c>
    </row>
    <row r="49" spans="1:21">
      <c r="A49" s="286" t="s">
        <v>170</v>
      </c>
      <c r="B49" s="301">
        <v>0</v>
      </c>
      <c r="C49" s="301">
        <v>0</v>
      </c>
      <c r="D49" s="288">
        <f>(C49-Dashboard!E183*1000000)*(1+Inflation)+IF(Dashboard!E215=Budget_Reduction_FY,-Budget_Cut_Amount*1000000,0)+Dashboard!F183*1000000</f>
        <v>-1099000</v>
      </c>
      <c r="E49" s="288">
        <f>(D49-Dashboard!F183*1000000)*(1+Inflation)+IF(Dashboard!F215=Budget_Reduction_FY,-Budget_Cut_Amount*1000000,0)+Dashboard!G183*1000000</f>
        <v>-300000</v>
      </c>
      <c r="F49" s="288">
        <f>(E49-Dashboard!G183*1000000)*(1+Inflation)+IF(Dashboard!G215=Budget_Reduction_FY,-Budget_Cut_Amount*1000000,0)+Dashboard!H$183*1000000</f>
        <v>-300000</v>
      </c>
      <c r="G49" s="288">
        <f>(F49-Dashboard!H183*1000000)*(1+Inflation)+IF(Dashboard!H215=Budget_Reduction_FY,-Budget_Cut_Amount*1000000,0)+Dashboard!I$183*1000000</f>
        <v>-300000</v>
      </c>
      <c r="H49" s="288">
        <f>(G49-Dashboard!I183*1000000)*(1+Inflation)+IF(Dashboard!I215=Budget_Reduction_FY,-Budget_Cut_Amount*1000000,0)+Dashboard!J$183*1000000</f>
        <v>-300000</v>
      </c>
      <c r="I49" s="288">
        <f>(H49-Dashboard!J183*1000000)*(1+Inflation)+IF(Dashboard!J215=Budget_Reduction_FY,-Budget_Cut_Amount*1000000,0)+Dashboard!K$183*1000000</f>
        <v>-300000</v>
      </c>
      <c r="J49" s="288">
        <f>(I49-Dashboard!K183*1000000)*(1+Inflation)+IF(Dashboard!K215=Budget_Reduction_FY,-Budget_Cut_Amount*1000000,0)+Dashboard!L$183*1000000</f>
        <v>-300000</v>
      </c>
      <c r="K49" s="288">
        <f>(J49-Dashboard!L183*1000000)*(1+Inflation)+IF(Dashboard!L215=Budget_Reduction_FY,-Budget_Cut_Amount*1000000,0)+Dashboard!M$183*1000000</f>
        <v>-300000</v>
      </c>
      <c r="L49" s="263"/>
      <c r="M49" s="269">
        <f t="shared" si="49"/>
        <v>0</v>
      </c>
      <c r="N49" s="269">
        <f t="shared" si="50"/>
        <v>0</v>
      </c>
      <c r="O49" s="269">
        <f t="shared" si="51"/>
        <v>-0.72702456778889901</v>
      </c>
      <c r="P49" s="269">
        <f t="shared" si="52"/>
        <v>0</v>
      </c>
      <c r="Q49" s="269">
        <f t="shared" si="53"/>
        <v>0</v>
      </c>
      <c r="R49" s="269">
        <f t="shared" si="54"/>
        <v>0</v>
      </c>
      <c r="S49" s="269">
        <f t="shared" si="55"/>
        <v>0</v>
      </c>
      <c r="T49" s="269">
        <f t="shared" si="56"/>
        <v>0</v>
      </c>
      <c r="U49" s="269">
        <f t="shared" si="57"/>
        <v>0</v>
      </c>
    </row>
    <row r="50" spans="1:21">
      <c r="A50" s="286" t="s">
        <v>171</v>
      </c>
      <c r="B50" s="301">
        <v>0</v>
      </c>
      <c r="C50" s="301">
        <v>0</v>
      </c>
      <c r="D50" s="289">
        <f>(C50-Dashboard!E182*1000000)*(1+Inflation)+IF(Dashboard!E215=Budget_Increase_FY,Budget_Increase_Amount*1000000,0)+Dashboard!F182*1000000+FY20_Add_only*1000000</f>
        <v>0</v>
      </c>
      <c r="E50" s="289">
        <f>(D50-Dashboard!F182*1000000-FY20_Add_only*1000000)*(1+Inflation)+IF(Dashboard!F215=Budget_Increase_FY,Budget_Increase_Amount*1000000,0)+Dashboard!G182*1000000+FY21_Add_only*1000000</f>
        <v>0</v>
      </c>
      <c r="F50" s="289">
        <f>(E50-Dashboard!G182*1000000-FY21_Add_only*1000000)*(1+Inflation)+IF(Dashboard!G215=Budget_Increase_FY,Budget_Increase_Amount*1000000,0)+Dashboard!H$182*1000000</f>
        <v>0</v>
      </c>
      <c r="G50" s="288">
        <f>(F50-Dashboard!H182*1000000)*(1+Inflation)+IF(Dashboard!H215=Budget_Increase_FY,Budget_Increase_Amount*1000000,0)+Dashboard!I$182*1000000</f>
        <v>0</v>
      </c>
      <c r="H50" s="288">
        <f>(G50-Dashboard!I182*1000000)*(1+Inflation)+IF(Dashboard!I215=Budget_Increase_FY,Budget_Increase_Amount*1000000,0)+Dashboard!J$182*1000000</f>
        <v>0</v>
      </c>
      <c r="I50" s="288">
        <f>(H50-Dashboard!J182*1000000)*(1+Inflation)+IF(Dashboard!J215=Budget_Increase_FY,Budget_Increase_Amount*1000000,0)+Dashboard!K$182*1000000</f>
        <v>0</v>
      </c>
      <c r="J50" s="288">
        <f>(I50-Dashboard!K182*1000000)*(1+Inflation)+IF(Dashboard!K215=Budget_Increase_FY,Budget_Increase_Amount*1000000,0)+Dashboard!L$182*1000000</f>
        <v>0</v>
      </c>
      <c r="K50" s="288">
        <f>(J50-Dashboard!L182*1000000)*(1+Inflation)+IF(Dashboard!L215=Budget_Increase_FY,Budget_Increase_Amount*1000000,0)+Dashboard!M$182*1000000</f>
        <v>0</v>
      </c>
      <c r="L50" s="263"/>
      <c r="M50" s="269">
        <f t="shared" si="49"/>
        <v>0</v>
      </c>
      <c r="N50" s="269">
        <f t="shared" si="50"/>
        <v>0</v>
      </c>
      <c r="O50" s="269">
        <f t="shared" si="51"/>
        <v>0</v>
      </c>
      <c r="P50" s="269">
        <f t="shared" si="52"/>
        <v>0</v>
      </c>
      <c r="Q50" s="269">
        <f t="shared" si="53"/>
        <v>0</v>
      </c>
      <c r="R50" s="269">
        <f t="shared" si="54"/>
        <v>0</v>
      </c>
      <c r="S50" s="269">
        <f t="shared" si="55"/>
        <v>0</v>
      </c>
      <c r="T50" s="269">
        <f t="shared" si="56"/>
        <v>0</v>
      </c>
      <c r="U50" s="269">
        <f t="shared" si="57"/>
        <v>0</v>
      </c>
    </row>
    <row r="51" spans="1:21">
      <c r="A51" s="277" t="s">
        <v>407</v>
      </c>
      <c r="B51" s="267"/>
      <c r="C51" s="267"/>
      <c r="D51" s="267">
        <f t="shared" ref="D51:K51" si="70">-SUM(D43:D50)*Exp_Savings</f>
        <v>-125114.04859999999</v>
      </c>
      <c r="E51" s="280">
        <f t="shared" si="70"/>
        <v>-132374.11651600001</v>
      </c>
      <c r="F51" s="280">
        <f t="shared" si="70"/>
        <v>-138222.62803296</v>
      </c>
      <c r="G51" s="280">
        <f t="shared" si="70"/>
        <v>-146174.7081079176</v>
      </c>
      <c r="H51" s="280">
        <f t="shared" si="70"/>
        <v>-151126.11019321007</v>
      </c>
      <c r="I51" s="280">
        <f t="shared" si="70"/>
        <v>-156811.89316117053</v>
      </c>
      <c r="J51" s="280">
        <f t="shared" si="70"/>
        <v>-162724.9869299925</v>
      </c>
      <c r="K51" s="280">
        <f t="shared" si="70"/>
        <v>-168875.01540955697</v>
      </c>
      <c r="L51" s="263"/>
      <c r="M51" s="269"/>
      <c r="N51" s="269"/>
      <c r="O51" s="269"/>
      <c r="P51" s="269"/>
      <c r="Q51" s="269"/>
      <c r="R51" s="269"/>
      <c r="S51" s="269"/>
      <c r="T51" s="269"/>
      <c r="U51" s="269"/>
    </row>
    <row r="52" spans="1:21" ht="15" thickBot="1">
      <c r="A52" s="264" t="s">
        <v>43</v>
      </c>
      <c r="B52" s="272">
        <f>SUM(B43:B51)</f>
        <v>12241582.82</v>
      </c>
      <c r="C52" s="272">
        <f t="shared" ref="C52:K52" si="71">SUM(C43:C51)</f>
        <v>14033824.299999999</v>
      </c>
      <c r="D52" s="272">
        <f t="shared" si="71"/>
        <v>12386290.8114</v>
      </c>
      <c r="E52" s="272">
        <f t="shared" si="71"/>
        <v>13105037.535084</v>
      </c>
      <c r="F52" s="272">
        <f t="shared" si="71"/>
        <v>13684040.17526304</v>
      </c>
      <c r="G52" s="272">
        <f t="shared" si="71"/>
        <v>14471296.102683842</v>
      </c>
      <c r="H52" s="272">
        <f t="shared" si="71"/>
        <v>14961484.909127796</v>
      </c>
      <c r="I52" s="272">
        <f t="shared" si="71"/>
        <v>15524377.422955882</v>
      </c>
      <c r="J52" s="272">
        <f t="shared" si="71"/>
        <v>16109773.706069259</v>
      </c>
      <c r="K52" s="272">
        <f t="shared" si="71"/>
        <v>16718626.525546139</v>
      </c>
      <c r="L52" s="263"/>
      <c r="M52" s="273">
        <f t="shared" si="49"/>
        <v>0.14640602496859123</v>
      </c>
      <c r="N52" s="273">
        <f t="shared" si="50"/>
        <v>-0.117397329008886</v>
      </c>
      <c r="O52" s="273">
        <f t="shared" si="51"/>
        <v>5.802759959603776E-2</v>
      </c>
      <c r="P52" s="273">
        <f t="shared" si="52"/>
        <v>4.4181684991665859E-2</v>
      </c>
      <c r="Q52" s="273">
        <f t="shared" si="53"/>
        <v>5.7530957037377206E-2</v>
      </c>
      <c r="R52" s="273">
        <f t="shared" si="54"/>
        <v>3.3873179220833105E-2</v>
      </c>
      <c r="S52" s="273">
        <f t="shared" si="55"/>
        <v>3.7622770550312934E-2</v>
      </c>
      <c r="T52" s="273">
        <f t="shared" si="56"/>
        <v>3.7708197060949633E-2</v>
      </c>
      <c r="U52" s="273">
        <f t="shared" si="57"/>
        <v>3.7794001988215253E-2</v>
      </c>
    </row>
    <row r="53" spans="1:21" ht="15" thickTop="1">
      <c r="A53" s="264" t="s">
        <v>25</v>
      </c>
      <c r="B53" s="274"/>
      <c r="C53" s="274">
        <f>C52/B52-1</f>
        <v>0.14640602496859123</v>
      </c>
      <c r="D53" s="274">
        <f t="shared" ref="D53:E53" si="72">D52/C52-1</f>
        <v>-0.117397329008886</v>
      </c>
      <c r="E53" s="274">
        <f t="shared" si="72"/>
        <v>5.802759959603776E-2</v>
      </c>
      <c r="F53" s="274">
        <f>F52/E52-1</f>
        <v>4.4181684991665859E-2</v>
      </c>
      <c r="G53" s="274">
        <f t="shared" ref="G53" si="73">G52/F52-1</f>
        <v>5.7530957037377206E-2</v>
      </c>
      <c r="H53" s="274">
        <f t="shared" ref="H53" si="74">H52/G52-1</f>
        <v>3.3873179220833105E-2</v>
      </c>
      <c r="I53" s="274">
        <f t="shared" ref="I53" si="75">I52/H52-1</f>
        <v>3.7622770550312934E-2</v>
      </c>
      <c r="J53" s="274">
        <f t="shared" ref="J53" si="76">J52/I52-1</f>
        <v>3.7708197060949633E-2</v>
      </c>
      <c r="K53" s="274">
        <f t="shared" ref="K53" si="77">K52/J52-1</f>
        <v>3.7794001988215253E-2</v>
      </c>
      <c r="L53" s="263"/>
      <c r="M53" s="264"/>
      <c r="N53" s="264"/>
      <c r="O53" s="264"/>
      <c r="P53" s="264"/>
      <c r="Q53" s="264"/>
      <c r="R53" s="264"/>
      <c r="S53" s="264"/>
      <c r="T53" s="264"/>
      <c r="U53" s="264"/>
    </row>
    <row r="54" spans="1:21">
      <c r="A54" s="264"/>
      <c r="B54" s="263"/>
      <c r="C54" s="263"/>
      <c r="D54" s="263"/>
      <c r="E54" s="263"/>
      <c r="F54" s="263"/>
      <c r="G54" s="263"/>
      <c r="H54" s="263"/>
      <c r="I54" s="263"/>
      <c r="J54" s="263"/>
      <c r="K54" s="263"/>
      <c r="L54" s="263"/>
      <c r="M54" s="264"/>
      <c r="N54" s="264"/>
      <c r="O54" s="264"/>
      <c r="P54" s="264"/>
      <c r="Q54" s="264"/>
      <c r="R54" s="264"/>
      <c r="S54" s="264"/>
      <c r="T54" s="264"/>
      <c r="U54" s="264"/>
    </row>
    <row r="55" spans="1:21">
      <c r="A55" s="264" t="s">
        <v>19</v>
      </c>
      <c r="B55" s="263">
        <f t="shared" ref="B55:K55" si="78">B25-B52</f>
        <v>1229307.1799999997</v>
      </c>
      <c r="C55" s="263">
        <f t="shared" si="78"/>
        <v>-922807.29999999888</v>
      </c>
      <c r="D55" s="263">
        <f>D25-D52</f>
        <v>54365.70860000141</v>
      </c>
      <c r="E55" s="263">
        <f>E25-E52</f>
        <v>-599160.69211200066</v>
      </c>
      <c r="F55" s="263">
        <f t="shared" si="78"/>
        <v>-373754.99772928283</v>
      </c>
      <c r="G55" s="263">
        <f t="shared" si="78"/>
        <v>-703230.4138138108</v>
      </c>
      <c r="H55" s="263">
        <f t="shared" si="78"/>
        <v>-728317.03042676114</v>
      </c>
      <c r="I55" s="263">
        <f t="shared" si="78"/>
        <v>-1074209.0351383798</v>
      </c>
      <c r="J55" s="263">
        <f t="shared" si="78"/>
        <v>-1443962.608080728</v>
      </c>
      <c r="K55" s="263">
        <f t="shared" si="78"/>
        <v>-1811508.3878684584</v>
      </c>
      <c r="L55" s="263"/>
      <c r="M55" s="264"/>
      <c r="N55" s="264"/>
      <c r="O55" s="264"/>
      <c r="P55" s="264"/>
      <c r="Q55" s="264"/>
      <c r="R55" s="264"/>
      <c r="S55" s="264"/>
      <c r="T55" s="264"/>
      <c r="U55" s="264"/>
    </row>
    <row r="56" spans="1:21">
      <c r="A56" s="264" t="s">
        <v>22</v>
      </c>
      <c r="B56" s="263">
        <f>'No Recession Forecast'!B54</f>
        <v>3705843</v>
      </c>
      <c r="C56" s="263">
        <f>B58</f>
        <v>4422808</v>
      </c>
      <c r="D56" s="263">
        <f t="shared" ref="D56:K56" si="79">C58</f>
        <v>3500000</v>
      </c>
      <c r="E56" s="263">
        <f t="shared" si="79"/>
        <v>3554365.7086000014</v>
      </c>
      <c r="F56" s="263">
        <f t="shared" si="79"/>
        <v>2955205.0164880008</v>
      </c>
      <c r="G56" s="263">
        <f t="shared" si="79"/>
        <v>2581450.0187587179</v>
      </c>
      <c r="H56" s="263">
        <f t="shared" si="79"/>
        <v>1878219.6049449071</v>
      </c>
      <c r="I56" s="263">
        <f t="shared" si="79"/>
        <v>1149902.574518146</v>
      </c>
      <c r="J56" s="263">
        <f t="shared" si="79"/>
        <v>75693.539379766211</v>
      </c>
      <c r="K56" s="263">
        <f t="shared" si="79"/>
        <v>-1368269.0687009618</v>
      </c>
      <c r="L56" s="263"/>
      <c r="M56" s="264"/>
      <c r="N56" s="264"/>
      <c r="O56" s="264"/>
      <c r="P56" s="264"/>
      <c r="Q56" s="264"/>
      <c r="R56" s="264"/>
      <c r="S56" s="264"/>
      <c r="T56" s="264"/>
      <c r="U56" s="264"/>
    </row>
    <row r="57" spans="1:21">
      <c r="A57" s="264" t="s">
        <v>104</v>
      </c>
      <c r="B57" s="263">
        <f>'No Recession Forecast'!B55</f>
        <v>-512342.1799999997</v>
      </c>
      <c r="C57" s="263">
        <f>'No Recession Forecast'!C55</f>
        <v>-0.70000000111758709</v>
      </c>
      <c r="D57" s="263">
        <v>0</v>
      </c>
      <c r="E57" s="263">
        <v>0</v>
      </c>
      <c r="F57" s="263">
        <v>0</v>
      </c>
      <c r="G57" s="263">
        <v>0</v>
      </c>
      <c r="H57" s="263">
        <v>0</v>
      </c>
      <c r="I57" s="263">
        <v>0</v>
      </c>
      <c r="J57" s="263">
        <v>0</v>
      </c>
      <c r="K57" s="263">
        <v>0</v>
      </c>
      <c r="L57" s="263"/>
      <c r="M57" s="264"/>
      <c r="N57" s="264"/>
      <c r="O57" s="264"/>
      <c r="P57" s="264"/>
      <c r="Q57" s="264"/>
      <c r="R57" s="264"/>
      <c r="S57" s="264"/>
      <c r="T57" s="264"/>
      <c r="U57" s="264"/>
    </row>
    <row r="58" spans="1:21" ht="15" thickBot="1">
      <c r="A58" s="282" t="s">
        <v>21</v>
      </c>
      <c r="B58" s="290">
        <f>'No Recession Forecast'!B56</f>
        <v>4422808</v>
      </c>
      <c r="C58" s="290">
        <f>'No Recession Forecast'!C56</f>
        <v>3500000</v>
      </c>
      <c r="D58" s="290">
        <f t="shared" ref="D58" si="80">D55+D56</f>
        <v>3554365.7086000014</v>
      </c>
      <c r="E58" s="290">
        <f t="shared" ref="E58" si="81">E55+E56</f>
        <v>2955205.0164880008</v>
      </c>
      <c r="F58" s="290">
        <f t="shared" ref="F58" si="82">F55+F56</f>
        <v>2581450.0187587179</v>
      </c>
      <c r="G58" s="290">
        <f t="shared" ref="G58" si="83">G55+G56</f>
        <v>1878219.6049449071</v>
      </c>
      <c r="H58" s="290">
        <f t="shared" ref="H58" si="84">H55+H56</f>
        <v>1149902.574518146</v>
      </c>
      <c r="I58" s="290">
        <f t="shared" ref="I58" si="85">I55+I56</f>
        <v>75693.539379766211</v>
      </c>
      <c r="J58" s="290">
        <f t="shared" ref="J58" si="86">J55+J56</f>
        <v>-1368269.0687009618</v>
      </c>
      <c r="K58" s="290">
        <f t="shared" ref="K58" si="87">K55+K56</f>
        <v>-3179777.4565694202</v>
      </c>
      <c r="L58" s="263"/>
      <c r="M58" s="264"/>
      <c r="N58" s="264"/>
      <c r="O58" s="264"/>
      <c r="P58" s="264"/>
      <c r="Q58" s="264"/>
      <c r="R58" s="264"/>
      <c r="S58" s="264"/>
      <c r="T58" s="264"/>
      <c r="U58" s="264"/>
    </row>
    <row r="59" spans="1:21" ht="15" thickTop="1">
      <c r="A59" s="264" t="s">
        <v>23</v>
      </c>
      <c r="B59" s="291">
        <f t="shared" ref="B59:C59" si="88">B58/B52</f>
        <v>0.3612938020379296</v>
      </c>
      <c r="C59" s="291">
        <f t="shared" si="88"/>
        <v>0.24939745041556494</v>
      </c>
      <c r="D59" s="291">
        <f t="shared" ref="D59" si="89">D58/D52</f>
        <v>0.28695965262890982</v>
      </c>
      <c r="E59" s="291">
        <f t="shared" ref="E59" si="90">E58/E52</f>
        <v>0.22550145381701561</v>
      </c>
      <c r="F59" s="291">
        <f t="shared" ref="F59" si="91">F58/F52</f>
        <v>0.18864677286063991</v>
      </c>
      <c r="G59" s="291">
        <f t="shared" ref="G59" si="92">G58/G52</f>
        <v>0.12978931476611644</v>
      </c>
      <c r="H59" s="291">
        <f t="shared" ref="H59" si="93">H58/H52</f>
        <v>7.6857516583571608E-2</v>
      </c>
      <c r="I59" s="291">
        <f t="shared" ref="I59" si="94">I58/I52</f>
        <v>4.875785824933517E-3</v>
      </c>
      <c r="J59" s="291">
        <f t="shared" ref="J59" si="95">J58/J52</f>
        <v>-8.4934096137270682E-2</v>
      </c>
      <c r="K59" s="291">
        <f t="shared" ref="K59" si="96">K58/K52</f>
        <v>-0.19019370112196152</v>
      </c>
      <c r="L59" s="263"/>
      <c r="M59" s="264"/>
      <c r="N59" s="264"/>
      <c r="O59" s="264"/>
      <c r="P59" s="264"/>
      <c r="Q59" s="264"/>
      <c r="R59" s="264"/>
      <c r="S59" s="264"/>
      <c r="T59" s="264"/>
      <c r="U59" s="264"/>
    </row>
    <row r="60" spans="1:21">
      <c r="B60" s="168"/>
      <c r="C60" s="168"/>
      <c r="D60" s="557" t="str">
        <f t="shared" ref="D60" si="97">IF(AND(D58&lt;0,C58&gt;0),2000+VALUE(RIGHT(D2,2)),"")</f>
        <v/>
      </c>
      <c r="E60" s="557" t="str">
        <f>IF(AND(E58&lt;0,D58&gt;0),2000+VALUE(RIGHT(E2,2)),"")</f>
        <v/>
      </c>
      <c r="F60" s="557" t="str">
        <f t="shared" ref="F60:K60" si="98">IF(AND(F58&lt;0,E58&gt;0),2000+VALUE(RIGHT(F2,2)),"")</f>
        <v/>
      </c>
      <c r="G60" s="557" t="str">
        <f t="shared" si="98"/>
        <v/>
      </c>
      <c r="H60" s="557" t="str">
        <f t="shared" si="98"/>
        <v/>
      </c>
      <c r="I60" s="557" t="str">
        <f t="shared" si="98"/>
        <v/>
      </c>
      <c r="J60" s="557">
        <f t="shared" si="98"/>
        <v>2026</v>
      </c>
      <c r="K60" s="557" t="str">
        <f t="shared" si="98"/>
        <v/>
      </c>
      <c r="L60" s="7"/>
    </row>
    <row r="61" spans="1:21">
      <c r="B61" s="9"/>
      <c r="C61" s="9"/>
      <c r="D61" s="9"/>
      <c r="E61" s="9"/>
      <c r="F61" s="9"/>
      <c r="G61" s="9"/>
      <c r="H61" s="9"/>
      <c r="I61" s="9"/>
      <c r="J61" s="9"/>
      <c r="K61" s="9"/>
      <c r="L61" s="7"/>
    </row>
    <row r="62" spans="1:21">
      <c r="B62" s="9"/>
      <c r="C62" s="9"/>
      <c r="D62" s="9"/>
      <c r="E62" s="9"/>
      <c r="F62" s="9"/>
      <c r="G62" s="9"/>
      <c r="H62" s="9"/>
      <c r="I62" s="9"/>
      <c r="J62" s="9"/>
      <c r="K62" s="9"/>
      <c r="L62" s="7"/>
    </row>
    <row r="63" spans="1:21">
      <c r="A63" s="1" t="s">
        <v>51</v>
      </c>
      <c r="B63" s="9"/>
      <c r="C63" s="9"/>
      <c r="D63" s="9"/>
      <c r="E63" s="9"/>
      <c r="F63" s="9"/>
      <c r="G63" s="9"/>
      <c r="H63" s="9"/>
      <c r="I63" s="9"/>
      <c r="J63" s="9"/>
      <c r="K63" s="9"/>
      <c r="L63" s="7"/>
    </row>
    <row r="64" spans="1:21">
      <c r="A64" t="s">
        <v>6</v>
      </c>
      <c r="B64" s="9">
        <f t="shared" ref="B64:K64" si="99">B29/B$35</f>
        <v>0.35002922849154894</v>
      </c>
      <c r="C64" s="9">
        <f t="shared" si="99"/>
        <v>0.30512461596088242</v>
      </c>
      <c r="D64" s="9">
        <f t="shared" si="99"/>
        <v>0.34101968661055687</v>
      </c>
      <c r="E64" s="9">
        <f t="shared" si="99"/>
        <v>0.3609239307552462</v>
      </c>
      <c r="F64" s="9">
        <f t="shared" si="99"/>
        <v>0.3609239307552462</v>
      </c>
      <c r="G64" s="9">
        <f t="shared" si="99"/>
        <v>0.3609239307552462</v>
      </c>
      <c r="H64" s="9">
        <f t="shared" si="99"/>
        <v>0.3609239307552462</v>
      </c>
      <c r="I64" s="9">
        <f t="shared" si="99"/>
        <v>0.36092393075524626</v>
      </c>
      <c r="J64" s="9">
        <f t="shared" si="99"/>
        <v>0.36092393075524631</v>
      </c>
      <c r="K64" s="9">
        <f t="shared" si="99"/>
        <v>0.3609239307552462</v>
      </c>
      <c r="L64" s="7"/>
    </row>
    <row r="65" spans="1:12">
      <c r="A65" t="s">
        <v>7</v>
      </c>
      <c r="B65" s="9">
        <f t="shared" ref="B65:K65" si="100">B30/B$35</f>
        <v>0</v>
      </c>
      <c r="C65" s="9">
        <f t="shared" si="100"/>
        <v>0</v>
      </c>
      <c r="D65" s="9">
        <f t="shared" si="100"/>
        <v>0</v>
      </c>
      <c r="E65" s="9">
        <f t="shared" si="100"/>
        <v>0</v>
      </c>
      <c r="F65" s="9">
        <f t="shared" si="100"/>
        <v>0</v>
      </c>
      <c r="G65" s="9">
        <f t="shared" si="100"/>
        <v>0</v>
      </c>
      <c r="H65" s="9">
        <f t="shared" si="100"/>
        <v>0</v>
      </c>
      <c r="I65" s="9">
        <f t="shared" si="100"/>
        <v>0</v>
      </c>
      <c r="J65" s="9">
        <f t="shared" si="100"/>
        <v>0</v>
      </c>
      <c r="K65" s="9">
        <f t="shared" si="100"/>
        <v>0</v>
      </c>
      <c r="L65" s="7"/>
    </row>
    <row r="66" spans="1:12">
      <c r="A66" s="12" t="s">
        <v>47</v>
      </c>
      <c r="B66" s="13">
        <f t="shared" ref="B66:K66" si="101">(B29+B30)/B35</f>
        <v>0.35002922849154894</v>
      </c>
      <c r="C66" s="13">
        <f t="shared" si="101"/>
        <v>0.30512461596088242</v>
      </c>
      <c r="D66" s="13">
        <f t="shared" si="101"/>
        <v>0.34101968661055687</v>
      </c>
      <c r="E66" s="13">
        <f t="shared" si="101"/>
        <v>0.3609239307552462</v>
      </c>
      <c r="F66" s="13">
        <f t="shared" si="101"/>
        <v>0.3609239307552462</v>
      </c>
      <c r="G66" s="13">
        <f t="shared" si="101"/>
        <v>0.3609239307552462</v>
      </c>
      <c r="H66" s="13">
        <f t="shared" si="101"/>
        <v>0.3609239307552462</v>
      </c>
      <c r="I66" s="13">
        <f t="shared" si="101"/>
        <v>0.36092393075524626</v>
      </c>
      <c r="J66" s="13">
        <f t="shared" si="101"/>
        <v>0.36092393075524631</v>
      </c>
      <c r="K66" s="13">
        <f t="shared" si="101"/>
        <v>0.3609239307552462</v>
      </c>
      <c r="L66" s="7"/>
    </row>
    <row r="67" spans="1:12">
      <c r="A67" t="s">
        <v>12</v>
      </c>
      <c r="B67" s="9">
        <f t="shared" ref="B67:K67" si="102">B28/B$35</f>
        <v>0.26885769172127372</v>
      </c>
      <c r="C67" s="9">
        <f t="shared" si="102"/>
        <v>0.23971862252828693</v>
      </c>
      <c r="D67" s="9">
        <f t="shared" si="102"/>
        <v>0.25914265712739426</v>
      </c>
      <c r="E67" s="9">
        <f t="shared" si="102"/>
        <v>0.27426799715404676</v>
      </c>
      <c r="F67" s="9">
        <f t="shared" si="102"/>
        <v>0.27426799715404676</v>
      </c>
      <c r="G67" s="9">
        <f t="shared" si="102"/>
        <v>0.27426799715404676</v>
      </c>
      <c r="H67" s="9">
        <f t="shared" si="102"/>
        <v>0.27426799715404676</v>
      </c>
      <c r="I67" s="9">
        <f t="shared" si="102"/>
        <v>0.27426799715404676</v>
      </c>
      <c r="J67" s="9">
        <f t="shared" si="102"/>
        <v>0.27426799715404682</v>
      </c>
      <c r="K67" s="9">
        <f t="shared" si="102"/>
        <v>0.27426799715404676</v>
      </c>
      <c r="L67" s="7"/>
    </row>
    <row r="68" spans="1:12">
      <c r="A68" t="s">
        <v>8</v>
      </c>
      <c r="B68" s="9">
        <f t="shared" ref="B68:K68" si="103">B31/B$35</f>
        <v>9.8097396199293127E-2</v>
      </c>
      <c r="C68" s="9">
        <f t="shared" si="103"/>
        <v>0.12277474430116671</v>
      </c>
      <c r="D68" s="9">
        <f t="shared" si="103"/>
        <v>0.15057196689445135</v>
      </c>
      <c r="E68" s="9">
        <f t="shared" si="103"/>
        <v>0.15936037796890004</v>
      </c>
      <c r="F68" s="9">
        <f t="shared" si="103"/>
        <v>0.15936037796890004</v>
      </c>
      <c r="G68" s="9">
        <f t="shared" si="103"/>
        <v>0.15936037796890004</v>
      </c>
      <c r="H68" s="9">
        <f t="shared" si="103"/>
        <v>0.15936037796890004</v>
      </c>
      <c r="I68" s="9">
        <f t="shared" si="103"/>
        <v>0.15936037796890001</v>
      </c>
      <c r="J68" s="9">
        <f t="shared" si="103"/>
        <v>0.15936037796890001</v>
      </c>
      <c r="K68" s="9">
        <f t="shared" si="103"/>
        <v>0.15936037796889999</v>
      </c>
      <c r="L68" s="7"/>
    </row>
    <row r="69" spans="1:12">
      <c r="A69" t="s">
        <v>9</v>
      </c>
      <c r="B69" s="9">
        <f t="shared" ref="B69:K69" si="104">B32/B$35</f>
        <v>0.17402047442097032</v>
      </c>
      <c r="C69" s="9">
        <f t="shared" si="104"/>
        <v>0.14310684151860159</v>
      </c>
      <c r="D69" s="9">
        <f t="shared" si="104"/>
        <v>0.13453564892705183</v>
      </c>
      <c r="E69" s="9">
        <f t="shared" si="104"/>
        <v>0.14238807067144901</v>
      </c>
      <c r="F69" s="9">
        <f t="shared" si="104"/>
        <v>0.14238807067144901</v>
      </c>
      <c r="G69" s="9">
        <f t="shared" si="104"/>
        <v>0.14238807067144899</v>
      </c>
      <c r="H69" s="9">
        <f t="shared" si="104"/>
        <v>0.14238807067144899</v>
      </c>
      <c r="I69" s="9">
        <f t="shared" si="104"/>
        <v>0.14238807067144899</v>
      </c>
      <c r="J69" s="9">
        <f t="shared" si="104"/>
        <v>0.14238807067144901</v>
      </c>
      <c r="K69" s="9">
        <f t="shared" si="104"/>
        <v>0.14238807067144896</v>
      </c>
      <c r="L69" s="7"/>
    </row>
    <row r="70" spans="1:12">
      <c r="A70" t="s">
        <v>10</v>
      </c>
      <c r="B70" s="9">
        <f t="shared" ref="B70:K70" si="105">B33/B$35</f>
        <v>6.4214567802107131E-2</v>
      </c>
      <c r="C70" s="9">
        <f t="shared" si="105"/>
        <v>4.8007267698228211E-2</v>
      </c>
      <c r="D70" s="9">
        <f t="shared" si="105"/>
        <v>5.9582009377493278E-2</v>
      </c>
      <c r="E70" s="9">
        <f t="shared" si="105"/>
        <v>6.305962345035801E-2</v>
      </c>
      <c r="F70" s="9">
        <f t="shared" si="105"/>
        <v>6.305962345035801E-2</v>
      </c>
      <c r="G70" s="9">
        <f t="shared" si="105"/>
        <v>6.305962345035801E-2</v>
      </c>
      <c r="H70" s="9">
        <f t="shared" si="105"/>
        <v>6.305962345035801E-2</v>
      </c>
      <c r="I70" s="9">
        <f t="shared" si="105"/>
        <v>6.305962345035801E-2</v>
      </c>
      <c r="J70" s="9">
        <f t="shared" si="105"/>
        <v>6.3059623450358024E-2</v>
      </c>
      <c r="K70" s="9">
        <f t="shared" si="105"/>
        <v>6.305962345035801E-2</v>
      </c>
      <c r="L70" s="7"/>
    </row>
    <row r="71" spans="1:12">
      <c r="A71" t="s">
        <v>11</v>
      </c>
      <c r="B71" s="9">
        <f t="shared" ref="B71:K71" si="106">B34/B$35</f>
        <v>4.4780641364806778E-2</v>
      </c>
      <c r="C71" s="9">
        <f t="shared" si="106"/>
        <v>0.14126790799283415</v>
      </c>
      <c r="D71" s="9">
        <f t="shared" si="106"/>
        <v>5.5148031063052452E-2</v>
      </c>
      <c r="E71" s="9">
        <f t="shared" si="106"/>
        <v>0</v>
      </c>
      <c r="F71" s="9">
        <f t="shared" si="106"/>
        <v>0</v>
      </c>
      <c r="G71" s="9">
        <f t="shared" si="106"/>
        <v>0</v>
      </c>
      <c r="H71" s="9">
        <f t="shared" si="106"/>
        <v>0</v>
      </c>
      <c r="I71" s="9">
        <f t="shared" si="106"/>
        <v>0</v>
      </c>
      <c r="J71" s="9">
        <f t="shared" si="106"/>
        <v>0</v>
      </c>
      <c r="K71" s="9">
        <f t="shared" si="106"/>
        <v>0</v>
      </c>
      <c r="L71" s="7"/>
    </row>
    <row r="72" spans="1:12">
      <c r="A72" s="12" t="s">
        <v>46</v>
      </c>
      <c r="B72" s="13">
        <f t="shared" ref="B72:K72" si="107">(B28+B31+B32+B33+B34)/B35</f>
        <v>0.64997077150845106</v>
      </c>
      <c r="C72" s="13">
        <f t="shared" si="107"/>
        <v>0.69487538403911753</v>
      </c>
      <c r="D72" s="13">
        <f t="shared" si="107"/>
        <v>0.65898031338944307</v>
      </c>
      <c r="E72" s="13">
        <f t="shared" si="107"/>
        <v>0.6390760692447538</v>
      </c>
      <c r="F72" s="13">
        <f t="shared" si="107"/>
        <v>0.6390760692447538</v>
      </c>
      <c r="G72" s="13">
        <f t="shared" si="107"/>
        <v>0.6390760692447538</v>
      </c>
      <c r="H72" s="13">
        <f t="shared" si="107"/>
        <v>0.63907606924475369</v>
      </c>
      <c r="I72" s="13">
        <f t="shared" si="107"/>
        <v>0.6390760692447538</v>
      </c>
      <c r="J72" s="13">
        <f t="shared" si="107"/>
        <v>0.6390760692447538</v>
      </c>
      <c r="K72" s="13">
        <f t="shared" si="107"/>
        <v>0.6390760692447538</v>
      </c>
      <c r="L72" s="7"/>
    </row>
    <row r="73" spans="1:12">
      <c r="A73" t="s">
        <v>42</v>
      </c>
      <c r="B73" s="9">
        <f t="shared" ref="B73:K73" si="108">B35/B$35</f>
        <v>1</v>
      </c>
      <c r="C73" s="9">
        <f t="shared" si="108"/>
        <v>1</v>
      </c>
      <c r="D73" s="9">
        <f t="shared" si="108"/>
        <v>1</v>
      </c>
      <c r="E73" s="9">
        <f t="shared" si="108"/>
        <v>1</v>
      </c>
      <c r="F73" s="9">
        <f t="shared" si="108"/>
        <v>1</v>
      </c>
      <c r="G73" s="9">
        <f t="shared" si="108"/>
        <v>1</v>
      </c>
      <c r="H73" s="9">
        <f t="shared" si="108"/>
        <v>1</v>
      </c>
      <c r="I73" s="9">
        <f t="shared" si="108"/>
        <v>1</v>
      </c>
      <c r="J73" s="9">
        <f t="shared" si="108"/>
        <v>1</v>
      </c>
      <c r="K73" s="9">
        <f t="shared" si="108"/>
        <v>1</v>
      </c>
      <c r="L73" s="7"/>
    </row>
    <row r="74" spans="1:12">
      <c r="B74" s="9"/>
      <c r="C74" s="9"/>
      <c r="D74" s="9"/>
      <c r="E74" s="9"/>
      <c r="F74" s="9"/>
      <c r="G74" s="9"/>
      <c r="H74" s="9"/>
      <c r="I74" s="9"/>
      <c r="J74" s="9"/>
      <c r="K74" s="9"/>
      <c r="L74" s="7"/>
    </row>
    <row r="75" spans="1:12">
      <c r="A75" s="1" t="s">
        <v>49</v>
      </c>
      <c r="B75" s="9"/>
      <c r="C75" s="9"/>
      <c r="D75" s="9"/>
      <c r="E75" s="9"/>
      <c r="F75" s="9"/>
      <c r="G75" s="9"/>
      <c r="H75" s="9"/>
      <c r="I75" s="9"/>
      <c r="J75" s="9"/>
      <c r="K75" s="9"/>
      <c r="L75" s="7"/>
    </row>
    <row r="76" spans="1:12">
      <c r="A76" t="s">
        <v>12</v>
      </c>
      <c r="B76" s="4">
        <f t="shared" ref="B76:K76" si="109">B28/SUM(B$28,B$31:B$34)</f>
        <v>0.41364581840704812</v>
      </c>
      <c r="C76" s="4">
        <f t="shared" si="109"/>
        <v>0.34498073760343784</v>
      </c>
      <c r="D76" s="4">
        <f t="shared" si="109"/>
        <v>0.39324794969139926</v>
      </c>
      <c r="E76" s="4">
        <f t="shared" si="109"/>
        <v>0.42916330363953503</v>
      </c>
      <c r="F76" s="4">
        <f t="shared" si="109"/>
        <v>0.42916330363953498</v>
      </c>
      <c r="G76" s="4">
        <f t="shared" si="109"/>
        <v>0.42916330363953498</v>
      </c>
      <c r="H76" s="4">
        <f t="shared" si="109"/>
        <v>0.42916330363953503</v>
      </c>
      <c r="I76" s="4">
        <f t="shared" si="109"/>
        <v>0.42916330363953503</v>
      </c>
      <c r="J76" s="4">
        <f t="shared" si="109"/>
        <v>0.42916330363953503</v>
      </c>
      <c r="K76" s="4">
        <f t="shared" si="109"/>
        <v>0.42916330363953503</v>
      </c>
      <c r="L76" s="7"/>
    </row>
    <row r="77" spans="1:12">
      <c r="A77" t="s">
        <v>8</v>
      </c>
      <c r="B77" s="4">
        <f t="shared" ref="B77:K77" si="110">B31/SUM(B$28,B$31:B$34)</f>
        <v>0.15092585774530887</v>
      </c>
      <c r="C77" s="4">
        <f t="shared" si="110"/>
        <v>0.17668598877040545</v>
      </c>
      <c r="D77" s="4">
        <f t="shared" si="110"/>
        <v>0.22849235983999203</v>
      </c>
      <c r="E77" s="4">
        <f t="shared" si="110"/>
        <v>0.24936057793124483</v>
      </c>
      <c r="F77" s="4">
        <f t="shared" si="110"/>
        <v>0.24936057793124483</v>
      </c>
      <c r="G77" s="4">
        <f t="shared" si="110"/>
        <v>0.2493605779312448</v>
      </c>
      <c r="H77" s="4">
        <f t="shared" si="110"/>
        <v>0.24936057793124486</v>
      </c>
      <c r="I77" s="4">
        <f t="shared" si="110"/>
        <v>0.2493605779312448</v>
      </c>
      <c r="J77" s="4">
        <f t="shared" si="110"/>
        <v>0.2493605779312448</v>
      </c>
      <c r="K77" s="4">
        <f t="shared" si="110"/>
        <v>0.24936057793124475</v>
      </c>
    </row>
    <row r="78" spans="1:12">
      <c r="A78" t="s">
        <v>9</v>
      </c>
      <c r="B78" s="4">
        <f t="shared" ref="B78:K78" si="111">B32/SUM(B$28,B$31:B$34)</f>
        <v>0.26773584605520628</v>
      </c>
      <c r="C78" s="4">
        <f t="shared" si="111"/>
        <v>0.20594605134342403</v>
      </c>
      <c r="D78" s="4">
        <f t="shared" si="111"/>
        <v>0.2041573112177999</v>
      </c>
      <c r="E78" s="4">
        <f t="shared" si="111"/>
        <v>0.22280300816101617</v>
      </c>
      <c r="F78" s="4">
        <f t="shared" si="111"/>
        <v>0.22280300816101617</v>
      </c>
      <c r="G78" s="4">
        <f t="shared" si="111"/>
        <v>0.22280300816101611</v>
      </c>
      <c r="H78" s="4">
        <f t="shared" si="111"/>
        <v>0.22280300816101617</v>
      </c>
      <c r="I78" s="4">
        <f t="shared" si="111"/>
        <v>0.22280300816101614</v>
      </c>
      <c r="J78" s="4">
        <f t="shared" si="111"/>
        <v>0.22280300816101617</v>
      </c>
      <c r="K78" s="4">
        <f t="shared" si="111"/>
        <v>0.22280300816101611</v>
      </c>
    </row>
    <row r="79" spans="1:12">
      <c r="A79" t="s">
        <v>10</v>
      </c>
      <c r="B79" s="4">
        <f t="shared" ref="B79:K79" si="112">B33/SUM(B$28,B$31:B$34)</f>
        <v>9.879608532715721E-2</v>
      </c>
      <c r="C79" s="4">
        <f t="shared" si="112"/>
        <v>6.9087592971239398E-2</v>
      </c>
      <c r="D79" s="4">
        <f t="shared" si="112"/>
        <v>9.0415461838359343E-2</v>
      </c>
      <c r="E79" s="4">
        <f t="shared" si="112"/>
        <v>9.8673110268204064E-2</v>
      </c>
      <c r="F79" s="4">
        <f t="shared" si="112"/>
        <v>9.8673110268204064E-2</v>
      </c>
      <c r="G79" s="4">
        <f t="shared" si="112"/>
        <v>9.8673110268204064E-2</v>
      </c>
      <c r="H79" s="4">
        <f t="shared" si="112"/>
        <v>9.8673110268204078E-2</v>
      </c>
      <c r="I79" s="4">
        <f t="shared" si="112"/>
        <v>9.8673110268204078E-2</v>
      </c>
      <c r="J79" s="4">
        <f t="shared" si="112"/>
        <v>9.8673110268204092E-2</v>
      </c>
      <c r="K79" s="4">
        <f t="shared" si="112"/>
        <v>9.8673110268204064E-2</v>
      </c>
    </row>
    <row r="80" spans="1:12">
      <c r="A80" t="s">
        <v>11</v>
      </c>
      <c r="B80" s="4">
        <f t="shared" ref="B80:K80" si="113">B34/SUM(B$28,B$31:B$34)</f>
        <v>6.8896392465279538E-2</v>
      </c>
      <c r="C80" s="4">
        <f t="shared" si="113"/>
        <v>0.20329962931149329</v>
      </c>
      <c r="D80" s="4">
        <f t="shared" si="113"/>
        <v>8.368691741244956E-2</v>
      </c>
      <c r="E80" s="4">
        <f t="shared" si="113"/>
        <v>0</v>
      </c>
      <c r="F80" s="4">
        <f t="shared" si="113"/>
        <v>0</v>
      </c>
      <c r="G80" s="4">
        <f t="shared" si="113"/>
        <v>0</v>
      </c>
      <c r="H80" s="4">
        <f t="shared" si="113"/>
        <v>0</v>
      </c>
      <c r="I80" s="4">
        <f t="shared" si="113"/>
        <v>0</v>
      </c>
      <c r="J80" s="4">
        <f t="shared" si="113"/>
        <v>0</v>
      </c>
      <c r="K80" s="4">
        <f t="shared" si="113"/>
        <v>0</v>
      </c>
    </row>
    <row r="81" spans="1:11" ht="15" thickBot="1">
      <c r="A81" t="s">
        <v>48</v>
      </c>
      <c r="B81" s="10">
        <f>SUM(B76:B80)</f>
        <v>1</v>
      </c>
      <c r="C81" s="10">
        <f t="shared" ref="C81:K81" si="114">SUM(C76:C80)</f>
        <v>1</v>
      </c>
      <c r="D81" s="10">
        <f t="shared" si="114"/>
        <v>1</v>
      </c>
      <c r="E81" s="10">
        <f t="shared" si="114"/>
        <v>1.0000000000000002</v>
      </c>
      <c r="F81" s="10">
        <f t="shared" si="114"/>
        <v>1</v>
      </c>
      <c r="G81" s="10">
        <f t="shared" si="114"/>
        <v>0.99999999999999989</v>
      </c>
      <c r="H81" s="10">
        <f t="shared" si="114"/>
        <v>1.0000000000000002</v>
      </c>
      <c r="I81" s="10">
        <f t="shared" si="114"/>
        <v>1</v>
      </c>
      <c r="J81" s="10">
        <f t="shared" si="114"/>
        <v>1</v>
      </c>
      <c r="K81" s="10">
        <f t="shared" si="114"/>
        <v>0.99999999999999989</v>
      </c>
    </row>
    <row r="82" spans="1:11" ht="15" thickTop="1">
      <c r="B82" s="4"/>
      <c r="C82" s="4"/>
      <c r="D82" s="4"/>
      <c r="E82" s="4"/>
      <c r="F82" s="4"/>
      <c r="G82" s="4"/>
      <c r="H82" s="4"/>
      <c r="I82" s="4"/>
      <c r="J82" s="4"/>
      <c r="K82" s="4"/>
    </row>
    <row r="83" spans="1:11">
      <c r="A83" s="1" t="s">
        <v>50</v>
      </c>
      <c r="B83" s="4"/>
      <c r="C83" s="4"/>
      <c r="D83" s="4"/>
      <c r="E83" s="4"/>
      <c r="F83" s="4"/>
      <c r="G83" s="4"/>
      <c r="H83" s="4"/>
      <c r="I83" s="4"/>
      <c r="J83" s="4"/>
      <c r="K83" s="4"/>
    </row>
    <row r="84" spans="1:11">
      <c r="A84" t="s">
        <v>6</v>
      </c>
      <c r="B84" s="4">
        <f t="shared" ref="B84:K84" si="115">B29/(B$29+B$30)</f>
        <v>1</v>
      </c>
      <c r="C84" s="4">
        <f t="shared" si="115"/>
        <v>1</v>
      </c>
      <c r="D84" s="4">
        <f t="shared" si="115"/>
        <v>1</v>
      </c>
      <c r="E84" s="4">
        <f t="shared" si="115"/>
        <v>1</v>
      </c>
      <c r="F84" s="4">
        <f t="shared" si="115"/>
        <v>1</v>
      </c>
      <c r="G84" s="4">
        <f t="shared" si="115"/>
        <v>1</v>
      </c>
      <c r="H84" s="4">
        <f t="shared" si="115"/>
        <v>1</v>
      </c>
      <c r="I84" s="4">
        <f t="shared" si="115"/>
        <v>1</v>
      </c>
      <c r="J84" s="4">
        <f t="shared" si="115"/>
        <v>1</v>
      </c>
      <c r="K84" s="4">
        <f t="shared" si="115"/>
        <v>1</v>
      </c>
    </row>
    <row r="85" spans="1:11">
      <c r="A85" t="s">
        <v>7</v>
      </c>
      <c r="B85" s="4">
        <f t="shared" ref="B85:K85" si="116">B30/(B$29+B$30)</f>
        <v>0</v>
      </c>
      <c r="C85" s="4">
        <f t="shared" si="116"/>
        <v>0</v>
      </c>
      <c r="D85" s="4">
        <f t="shared" si="116"/>
        <v>0</v>
      </c>
      <c r="E85" s="4">
        <f t="shared" si="116"/>
        <v>0</v>
      </c>
      <c r="F85" s="4">
        <f t="shared" si="116"/>
        <v>0</v>
      </c>
      <c r="G85" s="4">
        <f t="shared" si="116"/>
        <v>0</v>
      </c>
      <c r="H85" s="4">
        <f t="shared" si="116"/>
        <v>0</v>
      </c>
      <c r="I85" s="4">
        <f t="shared" si="116"/>
        <v>0</v>
      </c>
      <c r="J85" s="4">
        <f t="shared" si="116"/>
        <v>0</v>
      </c>
      <c r="K85" s="4">
        <f t="shared" si="116"/>
        <v>0</v>
      </c>
    </row>
    <row r="86" spans="1:11" ht="15" thickBot="1">
      <c r="A86" t="s">
        <v>48</v>
      </c>
      <c r="B86" s="10">
        <f>SUM(B84:B85)</f>
        <v>1</v>
      </c>
      <c r="C86" s="10">
        <f t="shared" ref="C86:K86" si="117">SUM(C84:C85)</f>
        <v>1</v>
      </c>
      <c r="D86" s="10">
        <f t="shared" si="117"/>
        <v>1</v>
      </c>
      <c r="E86" s="10">
        <f t="shared" si="117"/>
        <v>1</v>
      </c>
      <c r="F86" s="10">
        <f t="shared" si="117"/>
        <v>1</v>
      </c>
      <c r="G86" s="10">
        <f t="shared" si="117"/>
        <v>1</v>
      </c>
      <c r="H86" s="10">
        <f t="shared" si="117"/>
        <v>1</v>
      </c>
      <c r="I86" s="10">
        <f t="shared" si="117"/>
        <v>1</v>
      </c>
      <c r="J86" s="10">
        <f t="shared" si="117"/>
        <v>1</v>
      </c>
      <c r="K86" s="10">
        <f t="shared" si="117"/>
        <v>1</v>
      </c>
    </row>
    <row r="87" spans="1:11" ht="15" thickTop="1">
      <c r="B87" s="14"/>
      <c r="C87" s="14"/>
      <c r="D87" s="14"/>
      <c r="E87" s="14"/>
      <c r="F87" s="14"/>
      <c r="G87" s="14"/>
      <c r="H87" s="14"/>
      <c r="I87" s="14"/>
      <c r="J87" s="14"/>
      <c r="K87" s="14"/>
    </row>
    <row r="88" spans="1:11">
      <c r="A88" s="1" t="s">
        <v>55</v>
      </c>
      <c r="B88" s="15" t="s">
        <v>54</v>
      </c>
      <c r="C88" s="14"/>
      <c r="D88" s="14"/>
      <c r="E88" s="14"/>
      <c r="F88" s="14"/>
      <c r="G88" s="14"/>
      <c r="H88" s="14"/>
      <c r="I88" s="14"/>
      <c r="J88" s="14"/>
      <c r="K88" s="14"/>
    </row>
    <row r="89" spans="1:11">
      <c r="A89" t="s">
        <v>53</v>
      </c>
      <c r="B89" s="8"/>
      <c r="C89" s="8"/>
      <c r="D89" s="8">
        <f>(IF(Dashboard!E215=Budget_Reduction_FY,-Budget_Cut_Amount*1000000)+IF(Dashboard!E215=Budget_Increase_FY,-Budget_Increase_Amount*1000000))*C66</f>
        <v>0</v>
      </c>
      <c r="E89" s="8">
        <f>(IF(Dashboard!F215=Budget_Reduction_FY,-Budget_Cut_Amount*1000000)+IF(Dashboard!F215=Budget_Increase_FY,-Budget_Increase_Amount*1000000))*D66</f>
        <v>0</v>
      </c>
      <c r="F89" s="8">
        <f>(IF(Dashboard!G215=Budget_Reduction_FY,-Budget_Cut_Amount*1000000)+IF(Dashboard!G215=Budget_Increase_FY,-Budget_Increase_Amount*1000000))*E66</f>
        <v>0</v>
      </c>
      <c r="G89" s="8">
        <f>(IF(Dashboard!H215=Budget_Reduction_FY,-Budget_Cut_Amount*1000000)+IF(Dashboard!H215=Budget_Increase_FY,-Budget_Increase_Amount*1000000))*F66</f>
        <v>0</v>
      </c>
      <c r="H89" s="8">
        <f>(IF(Dashboard!I215=Budget_Reduction_FY,-Budget_Cut_Amount*1000000)+IF(Dashboard!I215=Budget_Increase_FY,-Budget_Increase_Amount*1000000))*G66</f>
        <v>0</v>
      </c>
      <c r="I89" s="8">
        <f>(IF(Dashboard!J215=Budget_Reduction_FY,-Budget_Cut_Amount*1000000)+IF(Dashboard!J215=Budget_Increase_FY,-Budget_Increase_Amount*1000000))*H66</f>
        <v>0</v>
      </c>
      <c r="J89" s="8">
        <f>(IF(Dashboard!K215=Budget_Reduction_FY,-Budget_Cut_Amount*1000000)+IF(Dashboard!K215=Budget_Increase_FY,-Budget_Increase_Amount*1000000))*I66</f>
        <v>0</v>
      </c>
      <c r="K89" s="8">
        <f>(IF(Dashboard!L215=Budget_Reduction_FY,-Budget_Cut_Amount*1000000)+IF(Dashboard!L215=Budget_Increase_FY,-Budget_Increase_Amount*1000000))*J66</f>
        <v>0</v>
      </c>
    </row>
    <row r="90" spans="1:11">
      <c r="A90" t="s">
        <v>52</v>
      </c>
      <c r="B90" s="8"/>
      <c r="C90" s="8"/>
      <c r="D90" s="8">
        <f>(IF(Dashboard!E215=Budget_Reduction_FY,-Budget_Cut_Amount*1000000)+IF(Dashboard!E215=Budget_Increase_FY,-Budget_Increase_Amount*1000000))*C72</f>
        <v>0</v>
      </c>
      <c r="E90" s="8">
        <f>(IF(Dashboard!F215=Budget_Reduction_FY,-Budget_Cut_Amount*1000000)+IF(Dashboard!F215=Budget_Increase_FY,-Budget_Increase_Amount*1000000))*D72</f>
        <v>0</v>
      </c>
      <c r="F90" s="8">
        <f>(IF(Dashboard!G215=Budget_Reduction_FY,-Budget_Cut_Amount*1000000)+IF(Dashboard!G215=Budget_Increase_FY,-Budget_Increase_Amount*1000000))*E72</f>
        <v>0</v>
      </c>
      <c r="G90" s="8">
        <f>(IF(Dashboard!H215=Budget_Reduction_FY,-Budget_Cut_Amount*1000000)+IF(Dashboard!H215=Budget_Increase_FY,-Budget_Increase_Amount*1000000))*F72</f>
        <v>0</v>
      </c>
      <c r="H90" s="8">
        <f>(IF(Dashboard!I215=Budget_Reduction_FY,-Budget_Cut_Amount*1000000)+IF(Dashboard!I215=Budget_Increase_FY,-Budget_Increase_Amount*1000000))*G72</f>
        <v>0</v>
      </c>
      <c r="I90" s="8">
        <f>(IF(Dashboard!J215=Budget_Reduction_FY,-Budget_Cut_Amount*1000000)+IF(Dashboard!J215=Budget_Increase_FY,-Budget_Increase_Amount*1000000))*H72</f>
        <v>0</v>
      </c>
      <c r="J90" s="8">
        <f>(IF(Dashboard!K215=Budget_Reduction_FY,-Budget_Cut_Amount*1000000)+IF(Dashboard!K215=Budget_Increase_FY,-Budget_Increase_Amount*1000000))*I72</f>
        <v>0</v>
      </c>
      <c r="K90" s="8">
        <f>(IF(Dashboard!L215=Budget_Reduction_FY,-Budget_Cut_Amount*1000000)+IF(Dashboard!L215=Budget_Increase_FY,-Budget_Increase_Amount*1000000))*J72</f>
        <v>0</v>
      </c>
    </row>
    <row r="91" spans="1:11" ht="15" thickBot="1">
      <c r="A91" t="s">
        <v>192</v>
      </c>
      <c r="C91" s="8"/>
      <c r="D91" s="159">
        <f t="shared" ref="D91" si="118">D90+D89</f>
        <v>0</v>
      </c>
      <c r="E91" s="159">
        <f>E90+E89</f>
        <v>0</v>
      </c>
      <c r="F91" s="159">
        <f t="shared" ref="F91:K91" si="119">F90+F89</f>
        <v>0</v>
      </c>
      <c r="G91" s="159">
        <f t="shared" si="119"/>
        <v>0</v>
      </c>
      <c r="H91" s="159">
        <f t="shared" si="119"/>
        <v>0</v>
      </c>
      <c r="I91" s="159">
        <f t="shared" si="119"/>
        <v>0</v>
      </c>
      <c r="J91" s="159">
        <f t="shared" si="119"/>
        <v>0</v>
      </c>
      <c r="K91" s="159">
        <f t="shared" si="119"/>
        <v>0</v>
      </c>
    </row>
    <row r="92" spans="1:11" ht="15" thickTop="1"/>
    <row r="106" spans="2:2">
      <c r="B106" s="2"/>
    </row>
    <row r="117" spans="1:2">
      <c r="B117" s="2"/>
    </row>
    <row r="128" spans="1:2">
      <c r="A128" s="11"/>
    </row>
    <row r="129" spans="1:1">
      <c r="A129" s="11"/>
    </row>
    <row r="154" spans="2:12">
      <c r="B154" s="7"/>
      <c r="C154" s="7"/>
      <c r="D154" s="7"/>
      <c r="E154" s="7"/>
      <c r="F154" s="7"/>
      <c r="G154" s="7"/>
      <c r="H154" s="7"/>
      <c r="I154" s="7"/>
      <c r="J154" s="7"/>
      <c r="K154" s="7"/>
      <c r="L154" s="7"/>
    </row>
    <row r="155" spans="2:12">
      <c r="B155" s="7"/>
      <c r="C155" s="7"/>
      <c r="D155" s="7"/>
      <c r="E155" s="7"/>
      <c r="F155" s="7"/>
      <c r="G155" s="7"/>
      <c r="H155" s="7"/>
      <c r="I155" s="7"/>
      <c r="J155" s="7"/>
      <c r="K155" s="7"/>
      <c r="L155" s="7"/>
    </row>
    <row r="188" spans="4:24">
      <c r="F188" s="4">
        <v>6.5146029753414103E-2</v>
      </c>
      <c r="K188" s="4">
        <v>3.7039858194445774E-2</v>
      </c>
      <c r="L188" s="4"/>
      <c r="M188" s="4">
        <v>1.3128130366773405E-2</v>
      </c>
      <c r="N188" s="4">
        <v>3.3888852801665648E-2</v>
      </c>
      <c r="O188" s="4">
        <v>3.3793078275753397E-2</v>
      </c>
      <c r="P188" s="4">
        <v>3.3163223968606159E-2</v>
      </c>
      <c r="Q188" s="4">
        <v>-2.9133955211125828E-3</v>
      </c>
      <c r="R188" s="4">
        <v>1.0399047287557917E-2</v>
      </c>
      <c r="S188" s="4">
        <v>-6.2568208414941484E-3</v>
      </c>
      <c r="T188" s="4">
        <v>2.3641676758057173E-4</v>
      </c>
      <c r="U188" s="4">
        <v>-1.0759586495944329E-2</v>
      </c>
      <c r="V188" s="4">
        <v>-2.9604064267847674E-2</v>
      </c>
      <c r="W188" s="4">
        <v>-7.2378785680944357E-3</v>
      </c>
      <c r="X188" s="4">
        <v>-2.1689144244876668E-2</v>
      </c>
    </row>
    <row r="189" spans="4:24">
      <c r="F189" s="4">
        <v>0.11739917006987199</v>
      </c>
      <c r="K189" s="4">
        <v>4.5076591725759174E-2</v>
      </c>
      <c r="L189" s="4"/>
      <c r="M189" s="4">
        <v>4.1644292445904396E-2</v>
      </c>
      <c r="N189" s="4">
        <v>4.0837003674452088E-2</v>
      </c>
      <c r="O189" s="4">
        <v>3.9218400320236046E-2</v>
      </c>
      <c r="P189" s="4">
        <v>3.8187835541316106E-2</v>
      </c>
      <c r="Q189" s="4">
        <v>-9.9857597441898038E-3</v>
      </c>
      <c r="R189" s="4">
        <v>-7.2539047839476067E-3</v>
      </c>
      <c r="S189" s="4">
        <v>-4.4366424367108137E-2</v>
      </c>
      <c r="T189" s="4">
        <v>-2.6933392831353653E-2</v>
      </c>
      <c r="U189" s="4">
        <v>-4.3882726365881863E-2</v>
      </c>
      <c r="V189" s="4">
        <v>-6.0587926595227826E-2</v>
      </c>
      <c r="W189" s="4">
        <v>-3.7128827961596222E-2</v>
      </c>
      <c r="X189" s="4">
        <v>-4.822529424368871E-2</v>
      </c>
    </row>
    <row r="190" spans="4:24">
      <c r="D190" s="6">
        <f t="shared" ref="D190:D195" si="120">SUM(E190:O190)</f>
        <v>0.33098912040088879</v>
      </c>
      <c r="E190" s="4">
        <v>8.7946018559890371E-2</v>
      </c>
      <c r="F190" s="4">
        <v>9.0330810936794403E-2</v>
      </c>
      <c r="G190" s="4">
        <v>5.978083579284843E-2</v>
      </c>
      <c r="H190" s="4">
        <v>4.2959430281479527E-2</v>
      </c>
      <c r="I190" s="4">
        <v>-5.3915669238290054E-2</v>
      </c>
      <c r="J190" s="4">
        <v>7.6075086449347573E-3</v>
      </c>
      <c r="K190" s="4">
        <v>2.5002223468132634E-2</v>
      </c>
      <c r="L190" s="4"/>
      <c r="M190" s="4">
        <v>2.4378632008148937E-2</v>
      </c>
      <c r="N190" s="4">
        <v>2.3757815947657024E-2</v>
      </c>
      <c r="O190" s="4">
        <v>2.3141513999292762E-2</v>
      </c>
      <c r="P190" s="4">
        <v>2.2528549043389967E-2</v>
      </c>
      <c r="Q190" s="4">
        <v>-3.4817904193492621E-2</v>
      </c>
      <c r="R190" s="4">
        <v>-8.0488065861994418E-3</v>
      </c>
      <c r="S190" s="4">
        <v>-5.0087715821255818E-2</v>
      </c>
      <c r="T190" s="4">
        <v>-1.6808483866440294E-2</v>
      </c>
      <c r="U190" s="4">
        <v>-3.1354336755260337E-2</v>
      </c>
      <c r="V190" s="4">
        <v>-6.0879873272858931E-2</v>
      </c>
      <c r="W190" s="4">
        <v>-3.0281583376694066E-2</v>
      </c>
    </row>
    <row r="191" spans="4:24">
      <c r="D191" s="6">
        <f t="shared" si="120"/>
        <v>0.32668411934823705</v>
      </c>
      <c r="E191" s="4">
        <v>7.4332089275492175E-2</v>
      </c>
      <c r="F191" s="4">
        <v>5.8297693444411047E-2</v>
      </c>
      <c r="G191" s="4">
        <v>4.4527162488771754E-2</v>
      </c>
      <c r="H191" s="4">
        <v>2.6641613079954052E-2</v>
      </c>
      <c r="I191" s="4">
        <v>2.9011085827325145E-2</v>
      </c>
      <c r="J191" s="4">
        <v>1.7423057997122404E-2</v>
      </c>
      <c r="K191" s="4">
        <v>1.7426168549442789E-2</v>
      </c>
      <c r="L191" s="4"/>
      <c r="M191" s="4">
        <v>1.758059331396078E-2</v>
      </c>
      <c r="N191" s="4">
        <v>2.0709076566773232E-2</v>
      </c>
      <c r="O191" s="4">
        <v>2.0735578804983668E-2</v>
      </c>
      <c r="P191" s="4">
        <v>2.07624101908368E-2</v>
      </c>
      <c r="Q191" s="4">
        <v>2.0789571539406859E-2</v>
      </c>
      <c r="R191" s="4">
        <v>1.4660391721488253E-4</v>
      </c>
      <c r="S191" s="4">
        <v>-3.8173524548009152E-2</v>
      </c>
      <c r="T191" s="4">
        <v>-1.0496052325674854E-2</v>
      </c>
      <c r="U191" s="4">
        <v>-2.1233800115556423E-2</v>
      </c>
      <c r="V191" s="4">
        <v>-3.8774290190413008E-2</v>
      </c>
    </row>
    <row r="192" spans="4:24">
      <c r="D192" s="6">
        <f t="shared" si="120"/>
        <v>0.2799207680213861</v>
      </c>
      <c r="E192" s="4">
        <v>7.854557180785382E-2</v>
      </c>
      <c r="F192" s="4">
        <v>6.3368866329721607E-2</v>
      </c>
      <c r="G192" s="4">
        <v>4.8028387553193275E-2</v>
      </c>
      <c r="H192" s="4">
        <v>2.705782548747826E-2</v>
      </c>
      <c r="I192" s="4">
        <v>2.9167089652160083E-2</v>
      </c>
      <c r="J192" s="4">
        <v>-1.4177716014521446E-2</v>
      </c>
      <c r="K192" s="4">
        <v>1.6859453998294027E-2</v>
      </c>
      <c r="L192" s="4"/>
      <c r="M192" s="4">
        <v>1.6290520446909484E-2</v>
      </c>
      <c r="N192" s="4">
        <v>-1.1491347373517868E-3</v>
      </c>
      <c r="O192" s="4">
        <v>1.5929903497648779E-2</v>
      </c>
      <c r="P192" s="4">
        <v>1.5828310580506599E-2</v>
      </c>
      <c r="Q192" s="4">
        <v>-5.5001618087334614E-2</v>
      </c>
      <c r="R192" s="4">
        <v>-1.4171412091050661E-2</v>
      </c>
      <c r="S192" s="4">
        <v>-6.0796451806854668E-2</v>
      </c>
      <c r="T192" s="4">
        <v>-3.2110243242331138E-2</v>
      </c>
      <c r="U192" s="4">
        <v>-4.9493958527143556E-2</v>
      </c>
      <c r="V192" s="4">
        <v>-7.6468389052332775E-2</v>
      </c>
    </row>
    <row r="193" spans="3:24">
      <c r="D193" s="6">
        <f t="shared" si="120"/>
        <v>0.58589416597603661</v>
      </c>
      <c r="E193" s="4">
        <v>6.2147249433456286E-2</v>
      </c>
      <c r="F193" s="4">
        <v>0.10918951377124264</v>
      </c>
      <c r="G193" s="4">
        <v>5.3761141557585601E-2</v>
      </c>
      <c r="H193" s="4">
        <v>5.1551048117666642E-2</v>
      </c>
      <c r="I193" s="4">
        <v>5.4757569188423449E-2</v>
      </c>
      <c r="J193" s="4">
        <v>3.593132597093418E-2</v>
      </c>
      <c r="K193" s="4">
        <v>3.5157261247670712E-2</v>
      </c>
      <c r="L193" s="4"/>
      <c r="M193" s="4">
        <v>0.1282101086232843</v>
      </c>
      <c r="N193" s="4">
        <v>2.7762986853324456E-2</v>
      </c>
      <c r="O193" s="4">
        <v>2.7425961212448335E-2</v>
      </c>
    </row>
    <row r="194" spans="3:24">
      <c r="D194" s="6">
        <f t="shared" si="120"/>
        <v>0.441878508024657</v>
      </c>
      <c r="E194" s="4">
        <v>0.11528827199011249</v>
      </c>
      <c r="F194" s="4">
        <v>7.3397221880016517E-2</v>
      </c>
      <c r="G194" s="4">
        <v>2.888371857360883E-2</v>
      </c>
      <c r="H194" s="4">
        <v>5.7162958686898913E-2</v>
      </c>
      <c r="I194" s="4">
        <v>4.6907590774040608E-2</v>
      </c>
      <c r="J194" s="4">
        <v>1.6873279118736706E-2</v>
      </c>
      <c r="K194" s="4">
        <v>2.7996866829618661E-2</v>
      </c>
      <c r="L194" s="4"/>
      <c r="M194" s="4">
        <v>2.5809814046252155E-2</v>
      </c>
      <c r="N194" s="4">
        <v>2.5119213382466254E-2</v>
      </c>
      <c r="O194" s="4">
        <v>2.4439572742905868E-2</v>
      </c>
      <c r="P194" s="4">
        <v>2.3840696510570636E-2</v>
      </c>
      <c r="Q194" s="4">
        <v>-2.1932593983116422E-2</v>
      </c>
      <c r="R194" s="4">
        <v>5.6515621461885601E-3</v>
      </c>
      <c r="S194" s="4">
        <v>-2.8490954941706503E-2</v>
      </c>
      <c r="T194" s="4">
        <v>-4.995510108133705E-3</v>
      </c>
      <c r="U194" s="4">
        <v>-1.6903177380635404E-2</v>
      </c>
      <c r="V194" s="4">
        <v>-4.0721814817196722E-2</v>
      </c>
      <c r="W194" s="4">
        <v>-1.4596732313755245E-2</v>
      </c>
    </row>
    <row r="195" spans="3:24">
      <c r="C195" t="s">
        <v>17</v>
      </c>
      <c r="D195" s="6">
        <f t="shared" si="120"/>
        <v>0.40625963817747773</v>
      </c>
      <c r="E195" s="5">
        <f>AVERAGE(E190:E194)</f>
        <v>8.3651840213361028E-2</v>
      </c>
      <c r="F195" s="5">
        <f>AVERAGE(F188:F194)</f>
        <v>8.2447043740781753E-2</v>
      </c>
      <c r="G195" s="5">
        <f>AVERAGE(G190:G194)</f>
        <v>4.6996249193201577E-2</v>
      </c>
      <c r="H195" s="5">
        <f>AVERAGE(H190:H194)</f>
        <v>4.1074575130695477E-2</v>
      </c>
      <c r="I195" s="5">
        <f>AVERAGE(I190:I194)</f>
        <v>2.1185533240731847E-2</v>
      </c>
      <c r="J195" s="5">
        <f>AVERAGE(J190:J194)</f>
        <v>1.2731491143441321E-2</v>
      </c>
      <c r="K195" s="5">
        <f>AVERAGE(K188:K194)</f>
        <v>2.922263200190911E-2</v>
      </c>
      <c r="L195" s="5"/>
      <c r="M195" s="5">
        <f>AVERAGE(M188:M194)</f>
        <v>3.8148870178747636E-2</v>
      </c>
      <c r="N195" s="5">
        <f>AVERAGE(N188:N194)</f>
        <v>2.4417973498426702E-2</v>
      </c>
      <c r="O195" s="5">
        <f>AVERAGE(O188:O194)</f>
        <v>2.6383429836181266E-2</v>
      </c>
      <c r="P195" s="5">
        <f t="shared" ref="P195:X195" si="121">AVERAGE(P188:P194)</f>
        <v>2.5718504305871043E-2</v>
      </c>
      <c r="Q195" s="5">
        <f t="shared" si="121"/>
        <v>-1.7310283331639864E-2</v>
      </c>
      <c r="R195" s="5">
        <f t="shared" si="121"/>
        <v>-2.2128183517060585E-3</v>
      </c>
      <c r="S195" s="5">
        <f t="shared" si="121"/>
        <v>-3.8028648721071402E-2</v>
      </c>
      <c r="T195" s="5">
        <f t="shared" si="121"/>
        <v>-1.5184544267725511E-2</v>
      </c>
      <c r="U195" s="5">
        <f t="shared" si="121"/>
        <v>-2.8937930940070317E-2</v>
      </c>
      <c r="V195" s="5">
        <f t="shared" si="121"/>
        <v>-5.1172726365979491E-2</v>
      </c>
      <c r="W195" s="5">
        <f t="shared" si="121"/>
        <v>-2.2311255555034992E-2</v>
      </c>
      <c r="X195" s="5">
        <f t="shared" si="121"/>
        <v>-3.4957219244282689E-2</v>
      </c>
    </row>
    <row r="196" spans="3:24">
      <c r="C196" t="s">
        <v>18</v>
      </c>
      <c r="D196" s="6" t="e">
        <f>AVERAGE(#REF!,D190:D191,D193:D194)</f>
        <v>#REF!</v>
      </c>
      <c r="E196" s="6" t="e">
        <f>AVERAGE(#REF!,E190:E191,E193:E194)</f>
        <v>#REF!</v>
      </c>
      <c r="F196" s="6">
        <f>AVERAGE(F188,F190:F191,F193:F194)</f>
        <v>7.9272253957175742E-2</v>
      </c>
      <c r="G196" s="6" t="e">
        <f>AVERAGE(#REF!,G190:G191,G193:G194)</f>
        <v>#REF!</v>
      </c>
      <c r="H196" s="6" t="e">
        <f>AVERAGE(#REF!,H190:H191,H193:H194)</f>
        <v>#REF!</v>
      </c>
      <c r="I196" s="6" t="e">
        <f>AVERAGE(#REF!,I190:I191,I193:I194)</f>
        <v>#REF!</v>
      </c>
      <c r="J196" s="6" t="e">
        <f>AVERAGE(#REF!,J190:J191,J193:J194)</f>
        <v>#REF!</v>
      </c>
      <c r="K196" s="6">
        <f>AVERAGE(K188,K190:K191,K193:K194)</f>
        <v>2.8524475657862113E-2</v>
      </c>
      <c r="L196" s="6"/>
      <c r="M196" s="5">
        <f>AVERAGE(M188,M190:M191,M193:M194)</f>
        <v>4.1821455671683917E-2</v>
      </c>
      <c r="N196" s="5">
        <f>AVERAGE(N188,N190:N191,N193:N194)</f>
        <v>2.6247589110377324E-2</v>
      </c>
      <c r="O196" s="5">
        <f>AVERAGE(O188,O190:O191,O193:O194)</f>
        <v>2.5907141007076806E-2</v>
      </c>
      <c r="P196" s="5">
        <f t="shared" ref="P196:X196" si="122">AVERAGE(P188,P190:P191,P193:P194)</f>
        <v>2.507371992835089E-2</v>
      </c>
      <c r="Q196" s="5">
        <f t="shared" si="122"/>
        <v>-9.7185805395786917E-3</v>
      </c>
      <c r="R196" s="5">
        <f t="shared" si="122"/>
        <v>2.0371016911904793E-3</v>
      </c>
      <c r="S196" s="5">
        <f t="shared" si="122"/>
        <v>-3.0752254038116406E-2</v>
      </c>
      <c r="T196" s="5">
        <f t="shared" si="122"/>
        <v>-8.0159073831670702E-3</v>
      </c>
      <c r="U196" s="5">
        <f t="shared" si="122"/>
        <v>-2.0062725186849123E-2</v>
      </c>
      <c r="V196" s="5">
        <f t="shared" si="122"/>
        <v>-4.2495010637079084E-2</v>
      </c>
      <c r="W196" s="5">
        <f t="shared" si="122"/>
        <v>-1.7372064752847916E-2</v>
      </c>
      <c r="X196" s="5">
        <f t="shared" si="122"/>
        <v>-2.1689144244876668E-2</v>
      </c>
    </row>
  </sheetData>
  <sheetProtection algorithmName="SHA-512" hashValue="Xp75ZyPdt0dcZybzwcUN7jKWxCNIlSAV2vxV/zBMtGWI6eoqzDCCDi+Dcb7w7/tdXvHebQ5eF0NleYLE73AXAQ==" saltValue="/UREYHAxck27Lw8Xzo0PJg==" spinCount="100000" sheet="1" objects="1" scenarios="1" selectLockedCells="1" selectUnlockedCells="1"/>
  <mergeCells count="1">
    <mergeCell ref="B1:K1"/>
  </mergeCells>
  <phoneticPr fontId="5" type="noConversion"/>
  <pageMargins left="0.75" right="0.7" top="0.7" bottom="0.5" header="0.35" footer="0.25"/>
  <pageSetup scale="63" orientation="landscape" horizontalDpi="0" verticalDpi="0" r:id="rId1"/>
  <headerFooter>
    <oddHeader>&amp;C&amp;"-,Bold"&amp;14MANAGEMENT PARTNERS' COVID-19 FISCAL DIAGNOSTIC TOOL</oddHeader>
    <oddFooter>&amp;L&amp;12Management Partners&amp;R&amp;12&amp;D-&amp;T</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AW1501"/>
  <sheetViews>
    <sheetView workbookViewId="0">
      <pane ySplit="19" topLeftCell="A20" activePane="bottomLeft" state="frozen"/>
      <selection pane="bottomLeft" activeCell="D21" sqref="D21"/>
    </sheetView>
  </sheetViews>
  <sheetFormatPr defaultColWidth="9" defaultRowHeight="14.4"/>
  <cols>
    <col min="1" max="1" width="12.33203125" style="151" customWidth="1"/>
    <col min="2" max="2" width="13.109375" style="151" customWidth="1"/>
    <col min="3" max="17" width="12.33203125" style="151" customWidth="1"/>
    <col min="18" max="18" width="12.44140625" style="151" customWidth="1"/>
    <col min="19" max="24" width="12.33203125" style="151" customWidth="1"/>
    <col min="25" max="25" width="12.6640625" style="151" customWidth="1"/>
    <col min="26" max="30" width="9" style="151"/>
    <col min="31" max="36" width="12.6640625" style="151" customWidth="1"/>
    <col min="37" max="16384" width="9" style="151"/>
  </cols>
  <sheetData>
    <row r="1" spans="1:40" ht="26.7" customHeight="1">
      <c r="A1" s="630" t="str">
        <f>Contact!A10</f>
        <v>This Fiscal Diagnostic Tool is the intellectual property of Management Partners, intended for the sole and exclusive use of the City of Kenmore, WA. Any redistribution of this model to anyone outside of the City of Kenmore, WA, without the expressed written consent of Management Partners, is strictly prohibited.  © 2020 Management Partners</v>
      </c>
      <c r="B1" s="631"/>
      <c r="C1" s="631"/>
      <c r="D1" s="631"/>
      <c r="E1" s="631"/>
      <c r="F1" s="631"/>
      <c r="G1" s="631"/>
      <c r="H1" s="631"/>
      <c r="I1" s="631"/>
      <c r="J1" s="631"/>
      <c r="K1" s="631"/>
      <c r="L1" s="631"/>
      <c r="M1" s="631"/>
      <c r="N1" s="631"/>
      <c r="O1" s="631"/>
      <c r="P1" s="631"/>
      <c r="Q1" s="631"/>
      <c r="R1" s="631"/>
      <c r="S1" s="29"/>
      <c r="T1" s="29"/>
      <c r="U1" s="29"/>
      <c r="V1" s="29"/>
      <c r="W1" s="29"/>
      <c r="X1" s="29"/>
      <c r="Y1" s="29"/>
      <c r="Z1" s="29"/>
      <c r="AA1" s="29"/>
      <c r="AB1" s="29"/>
      <c r="AC1" s="29"/>
      <c r="AD1" s="29"/>
      <c r="AE1" s="29"/>
      <c r="AF1" s="29"/>
      <c r="AG1" s="29"/>
      <c r="AH1" s="29"/>
      <c r="AI1" s="29"/>
      <c r="AJ1" s="29"/>
      <c r="AK1" s="29"/>
      <c r="AL1" s="29"/>
      <c r="AM1" s="29"/>
      <c r="AN1" s="29"/>
    </row>
    <row r="2" spans="1:40">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row>
    <row r="3" spans="1:40">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row>
    <row r="4" spans="1:40">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row>
    <row r="5" spans="1:40">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row>
    <row r="6" spans="1:40">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row>
    <row r="7" spans="1:40">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row>
    <row r="8" spans="1:40" ht="17.399999999999999">
      <c r="A8" s="29"/>
      <c r="B8" s="29"/>
      <c r="C8" s="29"/>
      <c r="D8" s="29"/>
      <c r="E8" s="29"/>
      <c r="F8" s="29"/>
      <c r="G8" s="29"/>
      <c r="H8" s="29"/>
      <c r="I8" s="29"/>
      <c r="J8" s="29"/>
      <c r="K8" s="29"/>
      <c r="L8" s="29"/>
      <c r="M8" s="29"/>
      <c r="N8" s="29"/>
      <c r="O8" s="29"/>
      <c r="P8" s="29"/>
      <c r="Q8" s="29"/>
      <c r="R8" s="29"/>
      <c r="S8" s="309"/>
      <c r="T8" s="29"/>
      <c r="U8" s="29"/>
      <c r="V8" s="29"/>
      <c r="W8" s="29"/>
      <c r="X8" s="29"/>
      <c r="Y8" s="29"/>
      <c r="Z8" s="29"/>
      <c r="AA8" s="29"/>
      <c r="AB8" s="29"/>
      <c r="AC8" s="29"/>
      <c r="AD8" s="29"/>
      <c r="AE8" s="29"/>
      <c r="AF8" s="29"/>
      <c r="AG8" s="29"/>
      <c r="AH8" s="29"/>
      <c r="AI8" s="29"/>
      <c r="AJ8" s="29"/>
      <c r="AK8" s="29"/>
      <c r="AL8" s="29"/>
      <c r="AM8" s="29"/>
      <c r="AN8" s="29"/>
    </row>
    <row r="9" spans="1:40">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row>
    <row r="10" spans="1:40">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ht="15.9" customHeight="1">
      <c r="A18" s="29"/>
      <c r="B18" s="60"/>
      <c r="C18" s="61" t="s">
        <v>84</v>
      </c>
      <c r="D18" s="556">
        <f>MAX('Recession Forecast'!D60:K60)</f>
        <v>2026</v>
      </c>
      <c r="E18" s="29"/>
      <c r="F18" s="29"/>
      <c r="G18" s="29"/>
      <c r="H18" s="61"/>
      <c r="I18" s="61" t="s">
        <v>77</v>
      </c>
      <c r="J18" s="37">
        <f>MIN('Recession Forecast'!$D55:$K55)/1000000</f>
        <v>-1.8115083878684584</v>
      </c>
      <c r="K18" s="37">
        <f>AVERAGE('Recession Forecast'!$D55:$K55)/1000000</f>
        <v>-0.83497218207117752</v>
      </c>
      <c r="L18" s="29"/>
      <c r="M18" s="169" t="str">
        <f>IF(AND(Prior_Min&lt;&gt;0,OR(Q216&lt;Prior_Min,Q215&gt;Prior_Max)),"RE-SCALE!","")</f>
        <v/>
      </c>
      <c r="N18" s="60"/>
      <c r="O18" s="61" t="s">
        <v>72</v>
      </c>
      <c r="P18" s="37">
        <f>IF(SUM(H22:J22)=0,0,SUM(C221:L221)/1000000)</f>
        <v>3.4213384264640063</v>
      </c>
      <c r="Q18" s="170" t="str">
        <f>IF(AND(Tax_Loss_Replacement=0,Rev_Loss_Loan=0),"before Fed aid/loan",IF(AND(Tax_Loss_Replacement=0,Rev_Loss_Loan&lt;&gt;0),"after revenue loss loan",IF(AND(Tax_Loss_Replacement&lt;&gt;0,Rev_Loss_Loan&lt;&gt;0),"after fed aid &amp; loan","after federal aid")))</f>
        <v>before Fed aid/loan</v>
      </c>
      <c r="R18" s="170"/>
      <c r="S18" s="29"/>
      <c r="T18" s="29"/>
      <c r="U18" s="29"/>
      <c r="V18" s="29"/>
      <c r="W18" s="29"/>
      <c r="X18" s="29"/>
      <c r="Y18" s="29"/>
      <c r="Z18" s="29"/>
      <c r="AA18" s="29"/>
      <c r="AB18" s="29"/>
      <c r="AC18" s="29"/>
      <c r="AD18" s="29"/>
      <c r="AE18" s="29"/>
      <c r="AF18" s="29"/>
      <c r="AG18" s="29"/>
      <c r="AH18" s="29"/>
      <c r="AI18" s="29"/>
      <c r="AJ18" s="29"/>
      <c r="AK18" s="29"/>
      <c r="AL18" s="29"/>
      <c r="AM18" s="29"/>
      <c r="AN18" s="29"/>
    </row>
    <row r="19" spans="1:40" ht="14.4" customHeight="1">
      <c r="A19" s="62"/>
      <c r="B19" s="62"/>
      <c r="C19" s="62"/>
      <c r="D19" s="62"/>
      <c r="E19" s="62"/>
      <c r="F19" s="62"/>
      <c r="G19" s="62"/>
      <c r="H19" s="62"/>
      <c r="I19" s="62"/>
      <c r="J19" s="62"/>
      <c r="K19" s="62"/>
      <c r="L19" s="62"/>
      <c r="M19" s="62"/>
      <c r="N19" s="62"/>
      <c r="O19" s="62"/>
      <c r="P19" s="62"/>
      <c r="Q19" s="62"/>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0" ht="13.95" customHeight="1" thickBot="1">
      <c r="A20" s="63" t="s">
        <v>134</v>
      </c>
      <c r="B20" s="63"/>
      <c r="C20" s="64"/>
      <c r="D20" s="64"/>
      <c r="E20" s="29"/>
      <c r="F20" s="85" t="s">
        <v>98</v>
      </c>
      <c r="G20" s="85"/>
      <c r="H20" s="85"/>
      <c r="I20" s="85"/>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0" ht="13.95" customHeight="1" thickBot="1">
      <c r="A21" s="38" t="s">
        <v>28</v>
      </c>
      <c r="B21" s="65"/>
      <c r="C21" s="65"/>
      <c r="D21" s="21">
        <v>0.2</v>
      </c>
      <c r="E21" s="29"/>
      <c r="F21" s="74"/>
      <c r="G21" s="75"/>
      <c r="H21" s="632" t="s">
        <v>150</v>
      </c>
      <c r="I21" s="620"/>
      <c r="J21" s="620"/>
      <c r="K21" s="620"/>
      <c r="L21" s="620"/>
      <c r="M21" s="621"/>
      <c r="N21" s="69" t="s">
        <v>155</v>
      </c>
      <c r="O21" s="64"/>
      <c r="P21" s="64"/>
      <c r="Q21" s="64"/>
      <c r="R21" s="64"/>
      <c r="S21" s="29"/>
      <c r="T21" s="29"/>
      <c r="U21" s="29"/>
      <c r="V21" s="29"/>
      <c r="W21" s="29"/>
      <c r="X21" s="29"/>
      <c r="Y21" s="29"/>
      <c r="Z21" s="29"/>
      <c r="AA21" s="29"/>
      <c r="AB21" s="29"/>
      <c r="AC21" s="29"/>
      <c r="AD21" s="29"/>
      <c r="AE21" s="29"/>
      <c r="AF21" s="29"/>
      <c r="AG21" s="29"/>
      <c r="AH21" s="29"/>
      <c r="AI21" s="29"/>
      <c r="AJ21" s="29"/>
      <c r="AK21" s="29"/>
      <c r="AL21" s="29"/>
      <c r="AM21" s="29"/>
      <c r="AN21" s="29"/>
    </row>
    <row r="22" spans="1:40" ht="13.95" customHeight="1" thickBot="1">
      <c r="A22" s="66" t="s">
        <v>196</v>
      </c>
      <c r="B22" s="67"/>
      <c r="C22" s="67"/>
      <c r="D22" s="16">
        <v>0</v>
      </c>
      <c r="E22" s="29"/>
      <c r="F22" s="76"/>
      <c r="G22" s="77"/>
      <c r="H22" s="155">
        <v>4</v>
      </c>
      <c r="I22" s="155">
        <v>3</v>
      </c>
      <c r="J22" s="155">
        <v>2</v>
      </c>
      <c r="K22" s="156">
        <v>1</v>
      </c>
      <c r="L22" s="628" t="s">
        <v>333</v>
      </c>
      <c r="M22" s="629"/>
      <c r="N22" s="70" t="s">
        <v>94</v>
      </c>
      <c r="O22" s="64"/>
      <c r="P22" s="64"/>
      <c r="Q22" s="64"/>
      <c r="R22" s="64"/>
      <c r="S22" s="29"/>
      <c r="T22" s="29"/>
      <c r="U22" s="29"/>
      <c r="V22" s="29"/>
      <c r="W22" s="29"/>
      <c r="X22" s="29"/>
      <c r="Y22" s="29"/>
      <c r="Z22" s="29"/>
      <c r="AA22" s="29"/>
      <c r="AB22" s="29"/>
      <c r="AC22" s="29"/>
      <c r="AD22" s="29"/>
      <c r="AE22" s="29"/>
      <c r="AF22" s="29"/>
      <c r="AG22" s="29"/>
      <c r="AH22" s="29"/>
      <c r="AI22" s="29"/>
      <c r="AJ22" s="29"/>
      <c r="AK22" s="29"/>
      <c r="AL22" s="29"/>
      <c r="AM22" s="29"/>
      <c r="AN22" s="29"/>
    </row>
    <row r="23" spans="1:40" ht="13.95" customHeight="1" thickBot="1">
      <c r="A23" s="29"/>
      <c r="B23" s="29"/>
      <c r="C23" s="29"/>
      <c r="D23" s="29"/>
      <c r="E23" s="29"/>
      <c r="F23" s="76"/>
      <c r="G23" s="77"/>
      <c r="H23" s="198" t="str">
        <f>IF(H22=0,"NO IMPACT",IF(H22=1,"LOW",IF(H22=2,"MODERATE",IF(H22=3,"HIGH","SEVERE"))))</f>
        <v>SEVERE</v>
      </c>
      <c r="I23" s="198" t="str">
        <f>IF(I22=0,"NO IMPACT",IF(I22=1,"LOW",IF(I22=2,"MODERATE",IF(I22=3,"HIGH","SEVERE"))))</f>
        <v>HIGH</v>
      </c>
      <c r="J23" s="198" t="str">
        <f>IF(J22=0,"NO IMPACT",IF(J22=1,"LOW",IF(J22=2,"MODERATE",IF(J22=3,"HIGH","SEVERE"))))</f>
        <v>MODERATE</v>
      </c>
      <c r="K23" s="625" t="str">
        <f>IF(AND(Loss22&lt;&gt;0,Recovery_years=0),"LOSSES END FY 21/22",IF(AND(Loss20=0,Loss21=0,Loss22=0),"NO IMPACT",IF(AND(Recovery_years=1,Loss21=0,Loss22=0),"LOSSES END FY 19/20",IF(Loss21=0,"LOSSES END FY 19/20",IF(Loss22=0,"LOSSES END FY 20/21",IF(Recovery_years=0,"LOSSES END FY 21/22",IF(Recovery_years=1,"LOSSES END FY 22/23",IF(Recovery_years=2,"LOSSES END FY 23/24","LOSSES END FY 24/25"))))))))</f>
        <v>LOSSES END FY 22/23</v>
      </c>
      <c r="L23" s="626"/>
      <c r="M23" s="627"/>
      <c r="N23" s="71" t="s">
        <v>332</v>
      </c>
      <c r="O23" s="72"/>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1:40" ht="13.95" customHeight="1">
      <c r="A24" s="57" t="s">
        <v>135</v>
      </c>
      <c r="B24" s="58">
        <v>0</v>
      </c>
      <c r="C24" s="164" t="s">
        <v>136</v>
      </c>
      <c r="D24" s="59">
        <v>24</v>
      </c>
      <c r="E24" s="302"/>
      <c r="F24" s="78" t="s">
        <v>95</v>
      </c>
      <c r="G24" s="79"/>
      <c r="H24" s="199" t="s">
        <v>361</v>
      </c>
      <c r="I24" s="199" t="s">
        <v>362</v>
      </c>
      <c r="J24" s="199" t="s">
        <v>363</v>
      </c>
      <c r="K24" s="200" t="s">
        <v>364</v>
      </c>
      <c r="L24" s="201" t="s">
        <v>365</v>
      </c>
      <c r="M24" s="202" t="s">
        <v>366</v>
      </c>
      <c r="N24" s="71" t="s">
        <v>334</v>
      </c>
      <c r="O24" s="72"/>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1:40" ht="13.95" customHeight="1">
      <c r="A25" s="558" t="s">
        <v>408</v>
      </c>
      <c r="B25" s="559"/>
      <c r="C25" s="560"/>
      <c r="D25" s="561">
        <v>1</v>
      </c>
      <c r="E25" s="302"/>
      <c r="F25" s="80" t="str">
        <f>+A46</f>
        <v>Property Tax</v>
      </c>
      <c r="G25" s="81"/>
      <c r="H25" s="203">
        <f t="shared" ref="H25:H39" si="0">IF(Loss20=0,0,IF(Loss20=1,C46,IF(Loss20=2,D46,IF(Loss20=3,E46,F46))))</f>
        <v>0</v>
      </c>
      <c r="I25" s="203">
        <f>IF(Loss21=0,0,IF(Loss21=1,G46,IF(Loss21=2,H46,IF(Loss21=3,I46,J46))))</f>
        <v>-6.7000000000000002E-3</v>
      </c>
      <c r="J25" s="203">
        <f>IF(Loss22=0,0,IF(Loss22=1,K46,IF(Loss22=2,L46,IF(Loss22=3,M46,N46))))</f>
        <v>-8.0000000000000002E-3</v>
      </c>
      <c r="K25" s="204">
        <f t="shared" ref="K25" si="1">IF(Recovery_years=3,J25*3/4,IF(Recovery_years=2,J25*2/3,IF(Recovery_years=1,J25/2,0)))</f>
        <v>-4.0000000000000001E-3</v>
      </c>
      <c r="L25" s="204">
        <f t="shared" ref="L25" si="2">IF(Recovery_years=3,J25/2,IF(Recovery_years=2,J25/3,0))</f>
        <v>0</v>
      </c>
      <c r="M25" s="205">
        <f t="shared" ref="M25" si="3">IF(Recovery_years=3,J25/4,0)</f>
        <v>0</v>
      </c>
      <c r="N25" s="71" t="s">
        <v>335</v>
      </c>
      <c r="O25" s="72"/>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1:40" ht="13.95" customHeight="1" thickBot="1">
      <c r="A26" s="306" t="s">
        <v>347</v>
      </c>
      <c r="B26" s="83"/>
      <c r="C26" s="83"/>
      <c r="D26" s="312">
        <v>0</v>
      </c>
      <c r="E26" s="302"/>
      <c r="F26" s="80" t="str">
        <f t="shared" ref="F26:F41" si="4">+A47</f>
        <v>Sales Tax</v>
      </c>
      <c r="G26" s="68"/>
      <c r="H26" s="203">
        <f t="shared" si="0"/>
        <v>-0.2</v>
      </c>
      <c r="I26" s="203">
        <f>IF(Loss21=0,0,IF(Loss21=1,G47,IF(Loss21=2,H47,IF(Loss21=3,I47,J47))))</f>
        <v>-0.16750000000000001</v>
      </c>
      <c r="J26" s="203">
        <f>IF(Loss22=0,0,IF(Loss22=1,K47,IF(Loss22=2,L47,IF(Loss22=3,M47,N47))))</f>
        <v>-0.06</v>
      </c>
      <c r="K26" s="204">
        <f t="shared" ref="K26:K41" si="5">IF(Recovery_years=3,J26*3/4,IF(Recovery_years=2,J26*2/3,IF(Recovery_years=1,J26/2,0)))</f>
        <v>-0.03</v>
      </c>
      <c r="L26" s="204">
        <f t="shared" ref="L26:L41" si="6">IF(Recovery_years=3,J26/2,IF(Recovery_years=2,J26/3,0))</f>
        <v>0</v>
      </c>
      <c r="M26" s="205">
        <f t="shared" ref="M26:M41" si="7">IF(Recovery_years=3,J26/4,0)</f>
        <v>0</v>
      </c>
      <c r="N26" s="71"/>
      <c r="O26" s="72"/>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1:40" ht="13.95" customHeight="1" thickBot="1">
      <c r="A27" s="186" t="str">
        <f>IF(Budget_Increase_Amount&lt;&gt;0,TEXT(MAX(#REF!),"#.0%")&amp;" of tot exp","")</f>
        <v/>
      </c>
      <c r="B27" s="186" t="str">
        <f>IF(Budget_Increase_Amount&lt;&gt;0,TEXT(MAX(#REF!),"#.0%")&amp;" of tot exp","")</f>
        <v/>
      </c>
      <c r="C27" s="186" t="str">
        <f>IF(Budget_Increase_Amount&lt;&gt;0,TEXT(MAX(A$227:J$227),"#.0%")&amp;" of tot exp","")</f>
        <v/>
      </c>
      <c r="D27" s="186" t="str">
        <f>IF(Budget_Increase_Amount&lt;&gt;0,TEXT(MAX(B$227:K$227),"#.0%")&amp;" of tot exp","")</f>
        <v/>
      </c>
      <c r="E27" s="29"/>
      <c r="F27" s="80" t="str">
        <f t="shared" si="4"/>
        <v>B&amp;O Tax</v>
      </c>
      <c r="G27" s="68"/>
      <c r="H27" s="203">
        <f t="shared" si="0"/>
        <v>-0.25</v>
      </c>
      <c r="I27" s="203">
        <f>IF(Loss21=0,0,IF(Loss21=1,G48,IF(Loss21=2,H48,IF(Loss21=3,I48,J48))))</f>
        <v>-0.16750000000000001</v>
      </c>
      <c r="J27" s="203">
        <f>IF(Loss22=0,0,IF(Loss22=1,K48,IF(Loss22=2,L48,IF(Loss22=3,M48,N48))))</f>
        <v>-0.06</v>
      </c>
      <c r="K27" s="204">
        <f t="shared" si="5"/>
        <v>-0.03</v>
      </c>
      <c r="L27" s="204">
        <f t="shared" si="6"/>
        <v>0</v>
      </c>
      <c r="M27" s="205">
        <f t="shared" si="7"/>
        <v>0</v>
      </c>
      <c r="N27" s="167"/>
      <c r="O27" s="72"/>
      <c r="P27" s="73" t="s">
        <v>96</v>
      </c>
      <c r="Q27" s="29"/>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1:40" ht="13.95" customHeight="1">
      <c r="A28" s="161" t="s">
        <v>137</v>
      </c>
      <c r="B28" s="58">
        <v>0</v>
      </c>
      <c r="C28" s="165" t="s">
        <v>138</v>
      </c>
      <c r="D28" s="59">
        <v>21</v>
      </c>
      <c r="E28" s="186" t="str">
        <f>IF(Budget_Cut_Amount&lt;&gt;0,TEXT(MAX(C$226:L$226),"#.0%")&amp;" of tot exp","")</f>
        <v/>
      </c>
      <c r="F28" s="80" t="str">
        <f t="shared" si="4"/>
        <v>Gambling Tax</v>
      </c>
      <c r="G28" s="68"/>
      <c r="H28" s="203">
        <f t="shared" si="0"/>
        <v>-0.05</v>
      </c>
      <c r="I28" s="203">
        <f>IF(Loss21=0,0,IF(Loss21=1,G49,IF(Loss21=2,H49,IF(Loss21=3,I49,J49))))</f>
        <v>-6.7000000000000004E-2</v>
      </c>
      <c r="J28" s="203">
        <f>IF(Loss22=0,0,IF(Loss22=1,K49,IF(Loss22=2,L49,IF(Loss22=3,M49,N49))))</f>
        <v>-4.0000000000000008E-2</v>
      </c>
      <c r="K28" s="204">
        <f t="shared" si="5"/>
        <v>-2.0000000000000004E-2</v>
      </c>
      <c r="L28" s="204">
        <f t="shared" si="6"/>
        <v>0</v>
      </c>
      <c r="M28" s="205">
        <f t="shared" si="7"/>
        <v>0</v>
      </c>
      <c r="N28" s="167"/>
      <c r="O28" s="72"/>
      <c r="P28" s="73" t="s">
        <v>97</v>
      </c>
      <c r="Q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0" ht="13.95" customHeight="1">
      <c r="A29" s="162" t="s">
        <v>198</v>
      </c>
      <c r="B29" s="22">
        <v>0</v>
      </c>
      <c r="C29" s="166" t="s">
        <v>199</v>
      </c>
      <c r="D29" s="45">
        <v>0</v>
      </c>
      <c r="E29" s="29"/>
      <c r="F29" s="80" t="str">
        <f t="shared" si="4"/>
        <v>Telecom Franchise Fees</v>
      </c>
      <c r="G29" s="68"/>
      <c r="H29" s="203">
        <f t="shared" si="0"/>
        <v>-0.05</v>
      </c>
      <c r="I29" s="203">
        <f>IF(IF(Loss21=0,0,IF(Loss21=1,G50,IF(Loss21=2,H50,IF(Loss21=3,I50,J50))))&gt;TOTloss,IF(Loss20+Loss21+Loss22=0,0,TOTloss),IF(Loss21=0,0,IF(Loss21=1,G50,IF(Loss21=2,H50,IF(Loss21=3,I50,J50)))))</f>
        <v>-6.7000000000000004E-2</v>
      </c>
      <c r="J29" s="203">
        <f>IF(IF(Loss22=0,0,IF(Loss22=1,K50,IF(Loss22=2,L50,IF(Loss22=3,M50,N50))))&gt;TOTloss,IF(Loss20+Loss21+Loss22=0,0,TOTloss),IF(Loss22=0,0,IF(Loss22=1,K50,IF(Loss22=2,L50,IF(Loss22=3,M50,N50)))))</f>
        <v>-4.0000000000000008E-2</v>
      </c>
      <c r="K29" s="204">
        <f>IF(IF(Recovery_years=3,J29*3/4,IF(Recovery_years=2,J29*2/3,IF(Recovery_years=1,J29/2,0)))&gt;TOTloss,IF(Loss20+Loss21+Loss22=0,0,TOTloss),IF(Recovery_years=3,J29*3/4,IF(Recovery_years=2,J29*2/3,IF(Recovery_years=1,J29/2,0))))</f>
        <v>-2.0000000000000004E-2</v>
      </c>
      <c r="L29" s="204">
        <f>IF(IF(Recovery_years=3,J29/2,IF(Recovery_years=2,J29/3,0))&gt;TOTloss,IF(Loss20+Loss21+Loss22=0,0,TOTloss),IF(Recovery_years=3,J29/2,IF(Recovery_years=2,J29/3,0)))</f>
        <v>0</v>
      </c>
      <c r="M29" s="205">
        <f>IF(IF(Recovery_years=3,J29/4,0)&gt;TOTloss,IF(Loss20+Loss21+Loss22=0,0,TOTloss),IF(Recovery_years=3,J29/4,0))</f>
        <v>0</v>
      </c>
      <c r="N29" s="167"/>
      <c r="O29" s="72"/>
      <c r="P29" s="73" t="s">
        <v>166</v>
      </c>
      <c r="Q29" s="29"/>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1:40" ht="13.95" customHeight="1" thickBot="1">
      <c r="A30" s="163" t="s">
        <v>87</v>
      </c>
      <c r="B30" s="83"/>
      <c r="C30" s="160"/>
      <c r="D30" s="16">
        <v>0.02</v>
      </c>
      <c r="E30" s="29"/>
      <c r="F30" s="80" t="str">
        <f t="shared" si="4"/>
        <v>Water/Sewer Franchise Fees</v>
      </c>
      <c r="G30" s="68"/>
      <c r="H30" s="203">
        <f t="shared" si="0"/>
        <v>0</v>
      </c>
      <c r="I30" s="203">
        <f t="shared" ref="I30:I39" si="8">IF(Loss21=0,0,IF(Loss21=1,G51,IF(Loss21=2,H51,IF(Loss21=3,I51,J51))))</f>
        <v>-3.3500000000000002E-2</v>
      </c>
      <c r="J30" s="203">
        <f t="shared" ref="J30:J39" si="9">IF(Loss22=0,0,IF(Loss22=1,K51,IF(Loss22=2,L51,IF(Loss22=3,M51,N51))))</f>
        <v>-2.0000000000000004E-2</v>
      </c>
      <c r="K30" s="204">
        <f t="shared" si="5"/>
        <v>-1.0000000000000002E-2</v>
      </c>
      <c r="L30" s="204">
        <f t="shared" si="6"/>
        <v>0</v>
      </c>
      <c r="M30" s="205">
        <f t="shared" si="7"/>
        <v>0</v>
      </c>
      <c r="N30" s="167"/>
      <c r="O30" s="72"/>
      <c r="P30" s="73" t="s">
        <v>168</v>
      </c>
      <c r="Q30" s="29"/>
      <c r="R30" s="29"/>
      <c r="S30" s="29"/>
      <c r="T30" s="29"/>
      <c r="U30" s="29"/>
      <c r="V30" s="29"/>
      <c r="W30" s="29"/>
      <c r="X30" s="29"/>
      <c r="Y30" s="29"/>
      <c r="Z30" s="29"/>
      <c r="AA30" s="29"/>
      <c r="AB30" s="29"/>
      <c r="AC30" s="29"/>
      <c r="AD30" s="29"/>
      <c r="AE30" s="29"/>
      <c r="AF30" s="29"/>
      <c r="AG30" s="29"/>
      <c r="AH30" s="29"/>
      <c r="AI30" s="29"/>
      <c r="AJ30" s="29"/>
      <c r="AK30" s="29"/>
      <c r="AL30" s="29"/>
      <c r="AM30" s="29"/>
      <c r="AN30" s="29"/>
    </row>
    <row r="31" spans="1:40" ht="13.95" customHeight="1" thickBot="1">
      <c r="A31" s="29"/>
      <c r="B31" s="29"/>
      <c r="C31" s="29"/>
      <c r="D31" s="29"/>
      <c r="E31" s="186" t="str">
        <f>IF(Budget_Increase_Amount&lt;&gt;0,TEXT(MAX(C$227:L$227),"#.0%")&amp;" of tot exp","")</f>
        <v/>
      </c>
      <c r="F31" s="80" t="str">
        <f t="shared" si="4"/>
        <v>Reimbursements</v>
      </c>
      <c r="G31" s="68"/>
      <c r="H31" s="203">
        <f t="shared" si="0"/>
        <v>0</v>
      </c>
      <c r="I31" s="203">
        <f t="shared" si="8"/>
        <v>0</v>
      </c>
      <c r="J31" s="203">
        <f t="shared" si="9"/>
        <v>0</v>
      </c>
      <c r="K31" s="204">
        <f t="shared" si="5"/>
        <v>0</v>
      </c>
      <c r="L31" s="204">
        <f t="shared" si="6"/>
        <v>0</v>
      </c>
      <c r="M31" s="205">
        <f t="shared" si="7"/>
        <v>0</v>
      </c>
      <c r="N31" s="167"/>
      <c r="O31" s="72"/>
      <c r="P31" s="73" t="s">
        <v>167</v>
      </c>
      <c r="Q31" s="29"/>
      <c r="R31" s="29"/>
      <c r="S31" s="29"/>
      <c r="T31" s="29"/>
      <c r="U31" s="29"/>
      <c r="V31" s="29"/>
      <c r="W31" s="29"/>
      <c r="X31" s="29"/>
      <c r="Y31" s="29"/>
      <c r="Z31" s="29"/>
      <c r="AA31" s="29"/>
      <c r="AB31" s="29"/>
      <c r="AC31" s="29"/>
      <c r="AD31" s="29"/>
      <c r="AE31" s="29"/>
      <c r="AF31" s="29"/>
      <c r="AG31" s="29"/>
      <c r="AH31" s="29"/>
      <c r="AI31" s="29"/>
      <c r="AJ31" s="29"/>
      <c r="AK31" s="29"/>
      <c r="AL31" s="29"/>
      <c r="AM31" s="29"/>
      <c r="AN31" s="29"/>
    </row>
    <row r="32" spans="1:40" ht="13.95" customHeight="1">
      <c r="A32" s="304" t="s">
        <v>296</v>
      </c>
      <c r="B32" s="305"/>
      <c r="C32" s="305"/>
      <c r="D32" s="171">
        <v>0</v>
      </c>
      <c r="E32" s="29"/>
      <c r="F32" s="80" t="str">
        <f t="shared" si="4"/>
        <v>All Other Taxes</v>
      </c>
      <c r="G32" s="68"/>
      <c r="H32" s="203">
        <f t="shared" si="0"/>
        <v>-0.05</v>
      </c>
      <c r="I32" s="203">
        <f t="shared" si="8"/>
        <v>-3.3500000000000002E-2</v>
      </c>
      <c r="J32" s="203">
        <f t="shared" si="9"/>
        <v>-2.0000000000000004E-2</v>
      </c>
      <c r="K32" s="204">
        <f t="shared" si="5"/>
        <v>-1.0000000000000002E-2</v>
      </c>
      <c r="L32" s="204">
        <f t="shared" si="6"/>
        <v>0</v>
      </c>
      <c r="M32" s="205">
        <f t="shared" si="7"/>
        <v>0</v>
      </c>
      <c r="N32" s="71"/>
      <c r="O32" s="72"/>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row>
    <row r="33" spans="1:40" ht="13.95" customHeight="1">
      <c r="A33" s="313" t="s">
        <v>314</v>
      </c>
      <c r="B33" s="68"/>
      <c r="C33" s="68"/>
      <c r="D33" s="172">
        <v>0</v>
      </c>
      <c r="E33" s="29"/>
      <c r="F33" s="80" t="str">
        <f t="shared" si="4"/>
        <v>Intergovernmental</v>
      </c>
      <c r="G33" s="68"/>
      <c r="H33" s="203">
        <f t="shared" si="0"/>
        <v>-0.02</v>
      </c>
      <c r="I33" s="203">
        <f t="shared" si="8"/>
        <v>-6.7000000000000004E-2</v>
      </c>
      <c r="J33" s="203">
        <f t="shared" si="9"/>
        <v>-4.0000000000000008E-2</v>
      </c>
      <c r="K33" s="204">
        <f t="shared" si="5"/>
        <v>-2.0000000000000004E-2</v>
      </c>
      <c r="L33" s="204">
        <f t="shared" si="6"/>
        <v>0</v>
      </c>
      <c r="M33" s="205">
        <f t="shared" si="7"/>
        <v>0</v>
      </c>
      <c r="N33" s="71" t="s">
        <v>88</v>
      </c>
      <c r="O33" s="72"/>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row>
    <row r="34" spans="1:40" ht="13.95" customHeight="1" thickBot="1">
      <c r="A34" s="84" t="s">
        <v>197</v>
      </c>
      <c r="B34" s="42">
        <v>0</v>
      </c>
      <c r="C34" s="43">
        <v>0.01</v>
      </c>
      <c r="D34" s="44">
        <v>5</v>
      </c>
      <c r="E34" s="29"/>
      <c r="F34" s="80" t="str">
        <f t="shared" si="4"/>
        <v>Other Revenue</v>
      </c>
      <c r="G34" s="68"/>
      <c r="H34" s="203">
        <f t="shared" si="0"/>
        <v>-0.1</v>
      </c>
      <c r="I34" s="203">
        <f t="shared" si="8"/>
        <v>-0.13400000000000001</v>
      </c>
      <c r="J34" s="203">
        <f t="shared" si="9"/>
        <v>-8.0000000000000016E-2</v>
      </c>
      <c r="K34" s="204">
        <f t="shared" si="5"/>
        <v>-4.0000000000000008E-2</v>
      </c>
      <c r="L34" s="204">
        <f t="shared" si="6"/>
        <v>0</v>
      </c>
      <c r="M34" s="205">
        <f t="shared" si="7"/>
        <v>0</v>
      </c>
      <c r="N34" s="71" t="s">
        <v>151</v>
      </c>
      <c r="O34" s="72"/>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row>
    <row r="35" spans="1:40" ht="13.95" customHeight="1">
      <c r="A35" s="29"/>
      <c r="B35" s="29"/>
      <c r="C35" s="29"/>
      <c r="D35" s="29"/>
      <c r="E35" s="24" t="str">
        <f>IF(Tax_Loss_Replacement&lt;&gt;0,Tax_Loss_Replacement*Population/1000000,"")</f>
        <v/>
      </c>
      <c r="F35" s="80" t="str">
        <f t="shared" si="4"/>
        <v>Charges for Services (Other)</v>
      </c>
      <c r="G35" s="68"/>
      <c r="H35" s="203">
        <f t="shared" si="0"/>
        <v>-0.2</v>
      </c>
      <c r="I35" s="203">
        <f t="shared" si="8"/>
        <v>-0.20100000000000001</v>
      </c>
      <c r="J35" s="203">
        <f t="shared" si="9"/>
        <v>-0.12</v>
      </c>
      <c r="K35" s="204">
        <f t="shared" si="5"/>
        <v>-0.06</v>
      </c>
      <c r="L35" s="204">
        <f t="shared" si="6"/>
        <v>0</v>
      </c>
      <c r="M35" s="205">
        <f t="shared" si="7"/>
        <v>0</v>
      </c>
      <c r="N35" s="71" t="s">
        <v>336</v>
      </c>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row>
    <row r="36" spans="1:40" ht="13.95" customHeight="1">
      <c r="A36" s="29"/>
      <c r="B36" s="29"/>
      <c r="C36" s="29"/>
      <c r="D36" s="29"/>
      <c r="E36" s="29"/>
      <c r="F36" s="80" t="str">
        <f t="shared" si="4"/>
        <v>Comm Develop/Planning Fees</v>
      </c>
      <c r="G36" s="68"/>
      <c r="H36" s="203">
        <f t="shared" si="0"/>
        <v>-0.2</v>
      </c>
      <c r="I36" s="203">
        <f t="shared" si="8"/>
        <v>-0.20100000000000001</v>
      </c>
      <c r="J36" s="203">
        <f t="shared" si="9"/>
        <v>-0.12</v>
      </c>
      <c r="K36" s="204">
        <f t="shared" si="5"/>
        <v>-0.06</v>
      </c>
      <c r="L36" s="204">
        <f t="shared" si="6"/>
        <v>0</v>
      </c>
      <c r="M36" s="205">
        <f t="shared" si="7"/>
        <v>0</v>
      </c>
      <c r="N36" s="71" t="s">
        <v>337</v>
      </c>
      <c r="O36" s="29"/>
      <c r="P36" s="29"/>
      <c r="Q36" s="71"/>
      <c r="R36" s="29"/>
      <c r="S36" s="29"/>
      <c r="T36" s="29"/>
      <c r="U36" s="29"/>
      <c r="V36" s="29"/>
      <c r="W36" s="29"/>
      <c r="X36" s="29"/>
      <c r="Y36" s="29"/>
      <c r="Z36" s="29"/>
      <c r="AA36" s="29"/>
      <c r="AB36" s="29"/>
      <c r="AC36" s="29"/>
      <c r="AD36" s="29"/>
      <c r="AE36" s="29"/>
      <c r="AF36" s="29"/>
      <c r="AG36" s="29"/>
      <c r="AH36" s="29"/>
      <c r="AI36" s="29"/>
      <c r="AJ36" s="29"/>
      <c r="AK36" s="29"/>
      <c r="AL36" s="29"/>
      <c r="AM36" s="29"/>
      <c r="AN36" s="29"/>
    </row>
    <row r="37" spans="1:40" ht="13.95" customHeight="1">
      <c r="A37" s="29"/>
      <c r="B37" s="29"/>
      <c r="C37" s="29"/>
      <c r="D37" s="29"/>
      <c r="E37" s="29"/>
      <c r="F37" s="80" t="str">
        <f t="shared" si="4"/>
        <v>Park &amp; Recreation Fees</v>
      </c>
      <c r="G37" s="68"/>
      <c r="H37" s="203">
        <f t="shared" si="0"/>
        <v>0</v>
      </c>
      <c r="I37" s="203">
        <f t="shared" si="8"/>
        <v>0</v>
      </c>
      <c r="J37" s="203">
        <f t="shared" si="9"/>
        <v>0</v>
      </c>
      <c r="K37" s="204">
        <f t="shared" si="5"/>
        <v>0</v>
      </c>
      <c r="L37" s="204">
        <f t="shared" si="6"/>
        <v>0</v>
      </c>
      <c r="M37" s="205">
        <f t="shared" si="7"/>
        <v>0</v>
      </c>
      <c r="N37" s="71" t="s">
        <v>338</v>
      </c>
      <c r="O37" s="29"/>
      <c r="P37" s="29"/>
      <c r="Q37" s="71"/>
      <c r="R37" s="29"/>
      <c r="S37" s="29"/>
      <c r="T37" s="29"/>
      <c r="U37" s="29"/>
      <c r="V37" s="29"/>
      <c r="W37" s="29"/>
      <c r="X37" s="29"/>
      <c r="Y37" s="29"/>
      <c r="Z37" s="29"/>
      <c r="AA37" s="29"/>
      <c r="AB37" s="29"/>
      <c r="AC37" s="29"/>
      <c r="AD37" s="29"/>
      <c r="AE37" s="29"/>
      <c r="AF37" s="29"/>
      <c r="AG37" s="29"/>
      <c r="AH37" s="29"/>
      <c r="AI37" s="29"/>
      <c r="AJ37" s="29"/>
      <c r="AK37" s="29"/>
      <c r="AL37" s="29"/>
      <c r="AM37" s="29"/>
      <c r="AN37" s="29"/>
    </row>
    <row r="38" spans="1:40" ht="13.95" customHeight="1">
      <c r="A38" s="29"/>
      <c r="B38" s="29"/>
      <c r="C38" s="29"/>
      <c r="D38" s="29"/>
      <c r="E38" s="29"/>
      <c r="F38" s="80" t="str">
        <f t="shared" si="4"/>
        <v>Fines and forfeitures</v>
      </c>
      <c r="G38" s="68"/>
      <c r="H38" s="203">
        <f t="shared" si="0"/>
        <v>0</v>
      </c>
      <c r="I38" s="203">
        <f t="shared" si="8"/>
        <v>0</v>
      </c>
      <c r="J38" s="203">
        <f t="shared" si="9"/>
        <v>0</v>
      </c>
      <c r="K38" s="204">
        <f t="shared" si="5"/>
        <v>0</v>
      </c>
      <c r="L38" s="204">
        <f t="shared" si="6"/>
        <v>0</v>
      </c>
      <c r="M38" s="205">
        <f t="shared" si="7"/>
        <v>0</v>
      </c>
      <c r="N38" s="71" t="s">
        <v>339</v>
      </c>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row>
    <row r="39" spans="1:40" ht="13.95" customHeight="1">
      <c r="A39" s="29"/>
      <c r="B39" s="29"/>
      <c r="C39" s="29"/>
      <c r="D39" s="29"/>
      <c r="E39" s="29"/>
      <c r="F39" s="80" t="str">
        <f t="shared" si="4"/>
        <v>Rental income</v>
      </c>
      <c r="G39" s="82"/>
      <c r="H39" s="203">
        <f t="shared" si="0"/>
        <v>-0.5</v>
      </c>
      <c r="I39" s="203">
        <f t="shared" si="8"/>
        <v>-0.10050000000000001</v>
      </c>
      <c r="J39" s="203">
        <f t="shared" si="9"/>
        <v>-0.06</v>
      </c>
      <c r="K39" s="204">
        <f t="shared" ref="K39" si="10">IF(Recovery_years=3,J39*3/4,IF(Recovery_years=2,J39*2/3,IF(Recovery_years=1,J39/2,0)))</f>
        <v>-0.03</v>
      </c>
      <c r="L39" s="204">
        <f t="shared" ref="L39" si="11">IF(Recovery_years=3,J39/2,IF(Recovery_years=2,J39/3,0))</f>
        <v>0</v>
      </c>
      <c r="M39" s="205">
        <f t="shared" ref="M39" si="12">IF(Recovery_years=3,J39/4,0)</f>
        <v>0</v>
      </c>
      <c r="N39" s="71" t="s">
        <v>340</v>
      </c>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ht="13.95" customHeight="1">
      <c r="A40" s="29"/>
      <c r="B40" s="29"/>
      <c r="C40" s="29"/>
      <c r="D40" s="29"/>
      <c r="E40" s="29"/>
      <c r="F40" s="80" t="str">
        <f t="shared" si="4"/>
        <v>Other financing sources</v>
      </c>
      <c r="G40" s="82"/>
      <c r="H40" s="206">
        <f t="shared" ref="H40" si="13">IF(Loss20=0,0,IF(Loss20=1,C61,IF(Loss20=2,D61,IF(Loss20=3,E61,F61))))</f>
        <v>0</v>
      </c>
      <c r="I40" s="206">
        <f t="shared" ref="I40" si="14">IF(Loss21=0,0,IF(Loss21=1,G61,IF(Loss21=2,H61,IF(Loss21=3,I61,J61))))</f>
        <v>0</v>
      </c>
      <c r="J40" s="206">
        <f t="shared" ref="J40" si="15">IF(Loss22=0,0,IF(Loss22=1,K61,IF(Loss22=2,L61,IF(Loss22=3,M61,N61))))</f>
        <v>0</v>
      </c>
      <c r="K40" s="204">
        <f t="shared" si="5"/>
        <v>0</v>
      </c>
      <c r="L40" s="204">
        <f t="shared" si="6"/>
        <v>0</v>
      </c>
      <c r="M40" s="205">
        <f t="shared" si="7"/>
        <v>0</v>
      </c>
      <c r="N40" s="71"/>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ht="13.95" customHeight="1" thickBot="1">
      <c r="A41" s="29"/>
      <c r="B41" s="29"/>
      <c r="C41" s="29"/>
      <c r="D41" s="29"/>
      <c r="E41" s="29"/>
      <c r="F41" s="146" t="str">
        <f t="shared" si="4"/>
        <v>Transfers In</v>
      </c>
      <c r="G41" s="83"/>
      <c r="H41" s="207">
        <f>IF(Loss20=0,0,IF(Loss20=1,C62,IF(Loss20=2,D62,IF(Loss20=3,E62,F62))))</f>
        <v>0</v>
      </c>
      <c r="I41" s="207">
        <f>IF(Loss21=0,0,IF(Loss21=1,G62,IF(Loss21=2,H62,IF(Loss21=3,I62,J62))))</f>
        <v>0</v>
      </c>
      <c r="J41" s="207">
        <f>IF(Loss22=0,0,IF(Loss22=1,K62,IF(Loss22=2,L62,IF(Loss22=3,M62,N62))))</f>
        <v>0</v>
      </c>
      <c r="K41" s="208">
        <f t="shared" si="5"/>
        <v>0</v>
      </c>
      <c r="L41" s="208">
        <f t="shared" si="6"/>
        <v>0</v>
      </c>
      <c r="M41" s="209">
        <f t="shared" si="7"/>
        <v>0</v>
      </c>
      <c r="N41" s="71"/>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40" ht="14.4" customHeight="1" thickBot="1">
      <c r="A42" s="85" t="s">
        <v>200</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40" ht="14.4" customHeight="1">
      <c r="A43" s="86"/>
      <c r="B43" s="87"/>
      <c r="C43" s="615" t="s">
        <v>329</v>
      </c>
      <c r="D43" s="616"/>
      <c r="E43" s="616"/>
      <c r="F43" s="617"/>
      <c r="G43" s="615" t="s">
        <v>330</v>
      </c>
      <c r="H43" s="616"/>
      <c r="I43" s="616"/>
      <c r="J43" s="617"/>
      <c r="K43" s="615" t="s">
        <v>331</v>
      </c>
      <c r="L43" s="616"/>
      <c r="M43" s="616"/>
      <c r="N43" s="617"/>
      <c r="O43" s="29"/>
      <c r="P43" s="29"/>
      <c r="Q43" s="29"/>
      <c r="R43" s="29"/>
      <c r="S43" s="29"/>
      <c r="T43" s="29"/>
      <c r="U43" s="29"/>
      <c r="V43" s="29"/>
      <c r="W43" s="29"/>
      <c r="X43" s="29"/>
      <c r="Y43" s="29"/>
      <c r="Z43" s="29"/>
      <c r="AA43" s="29"/>
      <c r="AB43" s="29"/>
      <c r="AC43" s="29"/>
      <c r="AD43" s="29"/>
      <c r="AE43" s="310">
        <v>4</v>
      </c>
      <c r="AF43" s="310">
        <v>4</v>
      </c>
      <c r="AG43" s="310">
        <v>3</v>
      </c>
      <c r="AH43" s="628" t="s">
        <v>156</v>
      </c>
      <c r="AI43" s="629"/>
      <c r="AJ43" s="311">
        <v>3</v>
      </c>
      <c r="AK43" s="29"/>
      <c r="AL43" s="29"/>
      <c r="AM43" s="29"/>
      <c r="AN43" s="29"/>
    </row>
    <row r="44" spans="1:40" ht="14.4" customHeight="1" thickBot="1">
      <c r="A44" s="88"/>
      <c r="B44" s="89"/>
      <c r="C44" s="19">
        <v>0.4</v>
      </c>
      <c r="D44" s="20">
        <v>0.6</v>
      </c>
      <c r="E44" s="20">
        <v>0.8</v>
      </c>
      <c r="F44" s="94" t="s">
        <v>39</v>
      </c>
      <c r="G44" s="19">
        <v>0.25</v>
      </c>
      <c r="H44" s="20">
        <v>0.5</v>
      </c>
      <c r="I44" s="20">
        <v>0.67</v>
      </c>
      <c r="J44" s="94" t="s">
        <v>39</v>
      </c>
      <c r="K44" s="19">
        <v>0.2</v>
      </c>
      <c r="L44" s="20">
        <v>0.4</v>
      </c>
      <c r="M44" s="20">
        <v>0.6</v>
      </c>
      <c r="N44" s="96" t="s">
        <v>39</v>
      </c>
      <c r="O44" s="29"/>
      <c r="P44" s="29"/>
      <c r="Q44" s="29"/>
      <c r="R44" s="314"/>
      <c r="S44" s="29"/>
      <c r="T44" s="29"/>
      <c r="U44" s="29"/>
      <c r="V44" s="29"/>
      <c r="W44" s="29"/>
      <c r="X44" s="29"/>
      <c r="Y44" s="29"/>
      <c r="Z44" s="29"/>
      <c r="AA44" s="29"/>
      <c r="AB44" s="29"/>
      <c r="AC44" s="29"/>
      <c r="AD44" s="29"/>
      <c r="AE44" s="315" t="s">
        <v>40</v>
      </c>
      <c r="AF44" s="315" t="s">
        <v>40</v>
      </c>
      <c r="AG44" s="315" t="s">
        <v>40</v>
      </c>
      <c r="AH44" s="29"/>
      <c r="AI44" s="29"/>
      <c r="AJ44" s="29"/>
      <c r="AK44" s="29"/>
      <c r="AL44" s="29"/>
      <c r="AM44" s="29"/>
      <c r="AN44" s="29"/>
    </row>
    <row r="45" spans="1:40" ht="14.4" customHeight="1">
      <c r="A45" s="90" t="s">
        <v>20</v>
      </c>
      <c r="B45" s="91"/>
      <c r="C45" s="97" t="s">
        <v>56</v>
      </c>
      <c r="D45" s="98" t="s">
        <v>26</v>
      </c>
      <c r="E45" s="98" t="s">
        <v>38</v>
      </c>
      <c r="F45" s="95" t="s">
        <v>27</v>
      </c>
      <c r="G45" s="97" t="s">
        <v>56</v>
      </c>
      <c r="H45" s="98" t="s">
        <v>26</v>
      </c>
      <c r="I45" s="98" t="s">
        <v>38</v>
      </c>
      <c r="J45" s="95" t="s">
        <v>27</v>
      </c>
      <c r="K45" s="97" t="s">
        <v>56</v>
      </c>
      <c r="L45" s="98" t="s">
        <v>26</v>
      </c>
      <c r="M45" s="98" t="s">
        <v>38</v>
      </c>
      <c r="N45" s="95" t="s">
        <v>27</v>
      </c>
      <c r="O45" s="29"/>
      <c r="P45" s="29"/>
      <c r="Q45" s="29"/>
      <c r="R45" s="29"/>
      <c r="S45" s="29"/>
      <c r="T45" s="29"/>
      <c r="U45" s="29"/>
      <c r="V45" s="29"/>
      <c r="W45" s="29"/>
      <c r="X45" s="29"/>
      <c r="Y45" s="29"/>
      <c r="Z45" s="29"/>
      <c r="AA45" s="29"/>
      <c r="AB45" s="29"/>
      <c r="AC45" s="29"/>
      <c r="AD45" s="29"/>
      <c r="AE45" s="302" t="s">
        <v>99</v>
      </c>
      <c r="AF45" s="302" t="s">
        <v>36</v>
      </c>
      <c r="AG45" s="302" t="s">
        <v>37</v>
      </c>
      <c r="AH45" s="29"/>
      <c r="AI45" s="29"/>
      <c r="AJ45" s="29"/>
      <c r="AK45" s="29"/>
      <c r="AL45" s="29"/>
      <c r="AM45" s="29"/>
      <c r="AN45" s="29"/>
    </row>
    <row r="46" spans="1:40" ht="14.4" customHeight="1">
      <c r="A46" s="56" t="str">
        <f>'Data Worksheet'!A7</f>
        <v>Property Tax</v>
      </c>
      <c r="B46" s="68"/>
      <c r="C46" s="210">
        <f t="shared" ref="C46:E62" si="16">$F46*C$44</f>
        <v>0</v>
      </c>
      <c r="D46" s="211">
        <f t="shared" si="16"/>
        <v>0</v>
      </c>
      <c r="E46" s="211">
        <f t="shared" si="16"/>
        <v>0</v>
      </c>
      <c r="F46" s="40">
        <v>0</v>
      </c>
      <c r="G46" s="210">
        <f t="shared" ref="G46:I62" si="17">$J46*G$44</f>
        <v>-2.5000000000000001E-3</v>
      </c>
      <c r="H46" s="211">
        <f t="shared" si="17"/>
        <v>-5.0000000000000001E-3</v>
      </c>
      <c r="I46" s="211">
        <f t="shared" si="17"/>
        <v>-6.7000000000000002E-3</v>
      </c>
      <c r="J46" s="40">
        <v>-0.01</v>
      </c>
      <c r="K46" s="210">
        <f t="shared" ref="K46:M62" si="18">$N46*K$44</f>
        <v>-4.0000000000000001E-3</v>
      </c>
      <c r="L46" s="211">
        <f t="shared" si="18"/>
        <v>-8.0000000000000002E-3</v>
      </c>
      <c r="M46" s="211">
        <f t="shared" si="18"/>
        <v>-1.2E-2</v>
      </c>
      <c r="N46" s="40">
        <v>-0.02</v>
      </c>
      <c r="O46" s="29"/>
      <c r="P46" s="29"/>
      <c r="Q46" s="29"/>
      <c r="R46" s="29"/>
      <c r="S46" s="29"/>
      <c r="T46" s="29"/>
      <c r="U46" s="29"/>
      <c r="V46" s="29"/>
      <c r="W46" s="29"/>
      <c r="X46" s="29"/>
      <c r="Y46" s="29"/>
      <c r="Z46" s="29"/>
      <c r="AA46" s="29"/>
      <c r="AB46" s="29"/>
      <c r="AC46" s="29"/>
      <c r="AD46" s="29"/>
      <c r="AE46" s="316">
        <v>0</v>
      </c>
      <c r="AF46" s="316">
        <v>-0.02</v>
      </c>
      <c r="AG46" s="316">
        <v>-0.05</v>
      </c>
      <c r="AH46" s="29"/>
      <c r="AI46" s="29"/>
      <c r="AJ46" s="29"/>
      <c r="AK46" s="29"/>
      <c r="AL46" s="29"/>
      <c r="AM46" s="29"/>
      <c r="AN46" s="29"/>
    </row>
    <row r="47" spans="1:40" ht="14.4" customHeight="1">
      <c r="A47" s="56" t="str">
        <f>'Data Worksheet'!A8</f>
        <v>Sales Tax</v>
      </c>
      <c r="B47" s="68"/>
      <c r="C47" s="210">
        <f t="shared" si="16"/>
        <v>-8.0000000000000016E-2</v>
      </c>
      <c r="D47" s="211">
        <f t="shared" si="16"/>
        <v>-0.12</v>
      </c>
      <c r="E47" s="211">
        <f t="shared" si="16"/>
        <v>-0.16000000000000003</v>
      </c>
      <c r="F47" s="40">
        <v>-0.2</v>
      </c>
      <c r="G47" s="210">
        <f>$J47*G$44</f>
        <v>-6.25E-2</v>
      </c>
      <c r="H47" s="211">
        <f>$J47*H$44</f>
        <v>-0.125</v>
      </c>
      <c r="I47" s="211">
        <f>$J47*I$44</f>
        <v>-0.16750000000000001</v>
      </c>
      <c r="J47" s="18">
        <v>-0.25</v>
      </c>
      <c r="K47" s="210">
        <f>$N47*K$44</f>
        <v>-0.03</v>
      </c>
      <c r="L47" s="211">
        <f>$N47*L$44</f>
        <v>-0.06</v>
      </c>
      <c r="M47" s="211">
        <f>$N47*M$44</f>
        <v>-0.09</v>
      </c>
      <c r="N47" s="18">
        <v>-0.15</v>
      </c>
      <c r="O47" s="29"/>
      <c r="P47" s="29"/>
      <c r="Q47" s="29"/>
      <c r="R47" s="29"/>
      <c r="S47" s="29"/>
      <c r="T47" s="29"/>
      <c r="U47" s="29"/>
      <c r="V47" s="29"/>
      <c r="W47" s="29"/>
      <c r="X47" s="29"/>
      <c r="Y47" s="29"/>
      <c r="Z47" s="29"/>
      <c r="AA47" s="29"/>
      <c r="AB47" s="29"/>
      <c r="AC47" s="29"/>
      <c r="AD47" s="29"/>
      <c r="AE47" s="316">
        <v>-0.1</v>
      </c>
      <c r="AF47" s="317">
        <v>-0.15</v>
      </c>
      <c r="AG47" s="317">
        <v>-0.15</v>
      </c>
      <c r="AH47" s="29"/>
      <c r="AI47" s="29"/>
      <c r="AJ47" s="29"/>
      <c r="AK47" s="29"/>
      <c r="AL47" s="29"/>
      <c r="AM47" s="29"/>
      <c r="AN47" s="29"/>
    </row>
    <row r="48" spans="1:40" ht="14.4" customHeight="1">
      <c r="A48" s="56" t="str">
        <f>'Data Worksheet'!A11</f>
        <v>B&amp;O Tax</v>
      </c>
      <c r="B48" s="68"/>
      <c r="C48" s="210">
        <f t="shared" si="16"/>
        <v>-0.1</v>
      </c>
      <c r="D48" s="211">
        <f t="shared" si="16"/>
        <v>-0.15</v>
      </c>
      <c r="E48" s="211">
        <f t="shared" si="16"/>
        <v>-0.2</v>
      </c>
      <c r="F48" s="40">
        <v>-0.25</v>
      </c>
      <c r="G48" s="210">
        <f t="shared" si="17"/>
        <v>-6.25E-2</v>
      </c>
      <c r="H48" s="211">
        <f t="shared" si="17"/>
        <v>-0.125</v>
      </c>
      <c r="I48" s="211">
        <f t="shared" si="17"/>
        <v>-0.16750000000000001</v>
      </c>
      <c r="J48" s="18">
        <v>-0.25</v>
      </c>
      <c r="K48" s="210">
        <f t="shared" si="18"/>
        <v>-0.03</v>
      </c>
      <c r="L48" s="211">
        <f t="shared" si="18"/>
        <v>-0.06</v>
      </c>
      <c r="M48" s="211">
        <f t="shared" si="18"/>
        <v>-0.09</v>
      </c>
      <c r="N48" s="18">
        <v>-0.15</v>
      </c>
      <c r="O48" s="29"/>
      <c r="P48" s="29"/>
      <c r="Q48" s="29"/>
      <c r="R48" s="29"/>
      <c r="S48" s="29"/>
      <c r="T48" s="29"/>
      <c r="U48" s="29"/>
      <c r="V48" s="29"/>
      <c r="W48" s="29"/>
      <c r="X48" s="29"/>
      <c r="Y48" s="29"/>
      <c r="Z48" s="29"/>
      <c r="AA48" s="29"/>
      <c r="AB48" s="29"/>
      <c r="AC48" s="29"/>
      <c r="AD48" s="29"/>
      <c r="AE48" s="316">
        <v>0</v>
      </c>
      <c r="AF48" s="317">
        <v>0</v>
      </c>
      <c r="AG48" s="317">
        <v>0</v>
      </c>
      <c r="AH48" s="29"/>
      <c r="AI48" s="29"/>
      <c r="AJ48" s="29"/>
      <c r="AK48" s="29"/>
      <c r="AL48" s="29"/>
      <c r="AM48" s="29"/>
      <c r="AN48" s="29"/>
    </row>
    <row r="49" spans="1:40" ht="14.4" customHeight="1">
      <c r="A49" s="56" t="str">
        <f>'Data Worksheet'!A12</f>
        <v>Gambling Tax</v>
      </c>
      <c r="B49" s="68"/>
      <c r="C49" s="210">
        <f t="shared" si="16"/>
        <v>-2.0000000000000004E-2</v>
      </c>
      <c r="D49" s="211">
        <f t="shared" si="16"/>
        <v>-0.03</v>
      </c>
      <c r="E49" s="211">
        <f t="shared" si="16"/>
        <v>-4.0000000000000008E-2</v>
      </c>
      <c r="F49" s="40">
        <v>-0.05</v>
      </c>
      <c r="G49" s="210">
        <f t="shared" si="17"/>
        <v>-2.5000000000000001E-2</v>
      </c>
      <c r="H49" s="211">
        <f t="shared" si="17"/>
        <v>-0.05</v>
      </c>
      <c r="I49" s="211">
        <f t="shared" si="17"/>
        <v>-6.7000000000000004E-2</v>
      </c>
      <c r="J49" s="18">
        <v>-0.1</v>
      </c>
      <c r="K49" s="210">
        <f t="shared" si="18"/>
        <v>-2.0000000000000004E-2</v>
      </c>
      <c r="L49" s="211">
        <f t="shared" si="18"/>
        <v>-4.0000000000000008E-2</v>
      </c>
      <c r="M49" s="211">
        <f t="shared" si="18"/>
        <v>-0.06</v>
      </c>
      <c r="N49" s="18">
        <v>-0.1</v>
      </c>
      <c r="O49" s="29"/>
      <c r="P49" s="29"/>
      <c r="Q49" s="29"/>
      <c r="R49" s="29"/>
      <c r="S49" s="29"/>
      <c r="T49" s="29"/>
      <c r="U49" s="29"/>
      <c r="V49" s="29"/>
      <c r="W49" s="29"/>
      <c r="X49" s="29"/>
      <c r="Y49" s="29"/>
      <c r="Z49" s="29"/>
      <c r="AA49" s="29"/>
      <c r="AB49" s="29"/>
      <c r="AC49" s="29"/>
      <c r="AD49" s="29"/>
      <c r="AE49" s="316">
        <v>0</v>
      </c>
      <c r="AF49" s="317">
        <v>-0.3</v>
      </c>
      <c r="AG49" s="317">
        <v>-0.3</v>
      </c>
      <c r="AH49" s="29"/>
      <c r="AI49" s="29"/>
      <c r="AJ49" s="29"/>
      <c r="AK49" s="29"/>
      <c r="AL49" s="29"/>
      <c r="AM49" s="29"/>
      <c r="AN49" s="29"/>
    </row>
    <row r="50" spans="1:40" ht="14.4" customHeight="1">
      <c r="A50" s="56" t="str">
        <f>'Data Worksheet'!A13</f>
        <v>Telecom Franchise Fees</v>
      </c>
      <c r="B50" s="68"/>
      <c r="C50" s="210">
        <f t="shared" si="16"/>
        <v>-2.0000000000000004E-2</v>
      </c>
      <c r="D50" s="211">
        <f t="shared" si="16"/>
        <v>-0.03</v>
      </c>
      <c r="E50" s="211">
        <f t="shared" si="16"/>
        <v>-4.0000000000000008E-2</v>
      </c>
      <c r="F50" s="40">
        <v>-0.05</v>
      </c>
      <c r="G50" s="210">
        <f t="shared" si="17"/>
        <v>-2.5000000000000001E-2</v>
      </c>
      <c r="H50" s="211">
        <f t="shared" si="17"/>
        <v>-0.05</v>
      </c>
      <c r="I50" s="211">
        <f t="shared" si="17"/>
        <v>-6.7000000000000004E-2</v>
      </c>
      <c r="J50" s="18">
        <v>-0.1</v>
      </c>
      <c r="K50" s="210">
        <f t="shared" si="18"/>
        <v>-2.0000000000000004E-2</v>
      </c>
      <c r="L50" s="211">
        <f t="shared" si="18"/>
        <v>-4.0000000000000008E-2</v>
      </c>
      <c r="M50" s="211">
        <f t="shared" si="18"/>
        <v>-0.06</v>
      </c>
      <c r="N50" s="18">
        <v>-0.1</v>
      </c>
      <c r="O50" s="29"/>
      <c r="P50" s="29"/>
      <c r="Q50" s="29"/>
      <c r="R50" s="29"/>
      <c r="S50" s="29"/>
      <c r="T50" s="29"/>
      <c r="U50" s="29"/>
      <c r="V50" s="29"/>
      <c r="W50" s="29"/>
      <c r="X50" s="29"/>
      <c r="Y50" s="29"/>
      <c r="Z50" s="29"/>
      <c r="AA50" s="29"/>
      <c r="AB50" s="29"/>
      <c r="AC50" s="29"/>
      <c r="AD50" s="29"/>
      <c r="AE50" s="316">
        <v>-0.2</v>
      </c>
      <c r="AF50" s="317">
        <v>-0.3</v>
      </c>
      <c r="AG50" s="317">
        <v>-0.3</v>
      </c>
      <c r="AH50" s="29"/>
      <c r="AI50" s="29"/>
      <c r="AJ50" s="29"/>
      <c r="AK50" s="29"/>
      <c r="AL50" s="29"/>
      <c r="AM50" s="29"/>
      <c r="AN50" s="29"/>
    </row>
    <row r="51" spans="1:40" ht="14.4" customHeight="1">
      <c r="A51" s="56" t="str">
        <f>'Data Worksheet'!A14</f>
        <v>Water/Sewer Franchise Fees</v>
      </c>
      <c r="B51" s="68"/>
      <c r="C51" s="210">
        <f t="shared" si="16"/>
        <v>0</v>
      </c>
      <c r="D51" s="211">
        <f t="shared" si="16"/>
        <v>0</v>
      </c>
      <c r="E51" s="211">
        <f t="shared" si="16"/>
        <v>0</v>
      </c>
      <c r="F51" s="40">
        <v>0</v>
      </c>
      <c r="G51" s="210">
        <f t="shared" si="17"/>
        <v>-1.2500000000000001E-2</v>
      </c>
      <c r="H51" s="211">
        <f t="shared" si="17"/>
        <v>-2.5000000000000001E-2</v>
      </c>
      <c r="I51" s="211">
        <f t="shared" si="17"/>
        <v>-3.3500000000000002E-2</v>
      </c>
      <c r="J51" s="18">
        <v>-0.05</v>
      </c>
      <c r="K51" s="210">
        <f t="shared" si="18"/>
        <v>-1.0000000000000002E-2</v>
      </c>
      <c r="L51" s="211">
        <f t="shared" si="18"/>
        <v>-2.0000000000000004E-2</v>
      </c>
      <c r="M51" s="211">
        <f t="shared" si="18"/>
        <v>-0.03</v>
      </c>
      <c r="N51" s="18">
        <v>-0.05</v>
      </c>
      <c r="O51" s="29"/>
      <c r="P51" s="29"/>
      <c r="Q51" s="29"/>
      <c r="R51" s="29"/>
      <c r="S51" s="29"/>
      <c r="T51" s="29"/>
      <c r="U51" s="29"/>
      <c r="V51" s="29"/>
      <c r="W51" s="29"/>
      <c r="X51" s="29"/>
      <c r="Y51" s="29"/>
      <c r="Z51" s="29"/>
      <c r="AA51" s="29"/>
      <c r="AB51" s="29"/>
      <c r="AC51" s="29"/>
      <c r="AD51" s="29"/>
      <c r="AE51" s="316">
        <v>-0.2</v>
      </c>
      <c r="AF51" s="317">
        <v>-0.3</v>
      </c>
      <c r="AG51" s="317">
        <v>-0.3</v>
      </c>
      <c r="AH51" s="29"/>
      <c r="AI51" s="29"/>
      <c r="AJ51" s="29"/>
      <c r="AK51" s="29"/>
      <c r="AL51" s="29"/>
      <c r="AM51" s="29"/>
      <c r="AN51" s="29"/>
    </row>
    <row r="52" spans="1:40" ht="14.4" customHeight="1">
      <c r="A52" s="56" t="str">
        <f>'Data Worksheet'!A15</f>
        <v>Reimbursements</v>
      </c>
      <c r="B52" s="68"/>
      <c r="C52" s="210">
        <f t="shared" si="16"/>
        <v>0</v>
      </c>
      <c r="D52" s="211">
        <f t="shared" si="16"/>
        <v>0</v>
      </c>
      <c r="E52" s="211">
        <f t="shared" si="16"/>
        <v>0</v>
      </c>
      <c r="F52" s="40">
        <v>0</v>
      </c>
      <c r="G52" s="210">
        <f t="shared" si="17"/>
        <v>0</v>
      </c>
      <c r="H52" s="211">
        <f t="shared" si="17"/>
        <v>0</v>
      </c>
      <c r="I52" s="211">
        <f t="shared" si="17"/>
        <v>0</v>
      </c>
      <c r="J52" s="40">
        <v>0</v>
      </c>
      <c r="K52" s="210">
        <f t="shared" si="18"/>
        <v>0</v>
      </c>
      <c r="L52" s="211">
        <f t="shared" si="18"/>
        <v>0</v>
      </c>
      <c r="M52" s="211">
        <f t="shared" si="18"/>
        <v>0</v>
      </c>
      <c r="N52" s="40">
        <v>0</v>
      </c>
      <c r="O52" s="29"/>
      <c r="P52" s="29"/>
      <c r="Q52" s="29"/>
      <c r="R52" s="29"/>
      <c r="S52" s="29"/>
      <c r="T52" s="29"/>
      <c r="U52" s="29"/>
      <c r="V52" s="29"/>
      <c r="W52" s="29"/>
      <c r="X52" s="29"/>
      <c r="Y52" s="29"/>
      <c r="Z52" s="29"/>
      <c r="AA52" s="29"/>
      <c r="AB52" s="29"/>
      <c r="AC52" s="29"/>
      <c r="AD52" s="29"/>
      <c r="AE52" s="316">
        <v>0</v>
      </c>
      <c r="AF52" s="316">
        <v>0</v>
      </c>
      <c r="AG52" s="316">
        <v>0</v>
      </c>
      <c r="AH52" s="29"/>
      <c r="AI52" s="29"/>
      <c r="AJ52" s="29"/>
      <c r="AK52" s="29"/>
      <c r="AL52" s="29"/>
      <c r="AM52" s="29"/>
      <c r="AN52" s="29"/>
    </row>
    <row r="53" spans="1:40" ht="14.4" customHeight="1">
      <c r="A53" s="56" t="str">
        <f>'Data Worksheet'!A16</f>
        <v>All Other Taxes</v>
      </c>
      <c r="B53" s="68"/>
      <c r="C53" s="210">
        <f t="shared" si="16"/>
        <v>-2.0000000000000004E-2</v>
      </c>
      <c r="D53" s="211">
        <f t="shared" si="16"/>
        <v>-0.03</v>
      </c>
      <c r="E53" s="211">
        <f t="shared" si="16"/>
        <v>-4.0000000000000008E-2</v>
      </c>
      <c r="F53" s="40">
        <v>-0.05</v>
      </c>
      <c r="G53" s="210">
        <f t="shared" si="17"/>
        <v>-1.2500000000000001E-2</v>
      </c>
      <c r="H53" s="211">
        <f t="shared" si="17"/>
        <v>-2.5000000000000001E-2</v>
      </c>
      <c r="I53" s="211">
        <f t="shared" si="17"/>
        <v>-3.3500000000000002E-2</v>
      </c>
      <c r="J53" s="40">
        <v>-0.05</v>
      </c>
      <c r="K53" s="210">
        <f t="shared" si="18"/>
        <v>-1.0000000000000002E-2</v>
      </c>
      <c r="L53" s="211">
        <f t="shared" si="18"/>
        <v>-2.0000000000000004E-2</v>
      </c>
      <c r="M53" s="211">
        <f t="shared" si="18"/>
        <v>-0.03</v>
      </c>
      <c r="N53" s="40">
        <v>-0.05</v>
      </c>
      <c r="O53" s="29"/>
      <c r="P53" s="29"/>
      <c r="Q53" s="29"/>
      <c r="R53" s="29"/>
      <c r="S53" s="29"/>
      <c r="T53" s="29"/>
      <c r="U53" s="29"/>
      <c r="V53" s="29"/>
      <c r="W53" s="29"/>
      <c r="X53" s="29"/>
      <c r="Y53" s="29"/>
      <c r="Z53" s="29"/>
      <c r="AA53" s="29"/>
      <c r="AB53" s="29"/>
      <c r="AC53" s="29"/>
      <c r="AD53" s="29"/>
      <c r="AE53" s="316">
        <v>0</v>
      </c>
      <c r="AF53" s="316">
        <v>0</v>
      </c>
      <c r="AG53" s="316">
        <v>0</v>
      </c>
      <c r="AH53" s="29"/>
      <c r="AI53" s="29"/>
      <c r="AJ53" s="29"/>
      <c r="AK53" s="29"/>
      <c r="AL53" s="29"/>
      <c r="AM53" s="29"/>
      <c r="AN53" s="29"/>
    </row>
    <row r="54" spans="1:40" ht="14.4" customHeight="1">
      <c r="A54" s="56" t="str">
        <f>'Data Worksheet'!A17</f>
        <v>Intergovernmental</v>
      </c>
      <c r="B54" s="68"/>
      <c r="C54" s="210">
        <f t="shared" si="16"/>
        <v>-8.0000000000000002E-3</v>
      </c>
      <c r="D54" s="211">
        <f t="shared" si="16"/>
        <v>-1.2E-2</v>
      </c>
      <c r="E54" s="211">
        <f t="shared" si="16"/>
        <v>-1.6E-2</v>
      </c>
      <c r="F54" s="40">
        <v>-0.02</v>
      </c>
      <c r="G54" s="210">
        <f t="shared" si="17"/>
        <v>-2.5000000000000001E-2</v>
      </c>
      <c r="H54" s="211">
        <f t="shared" si="17"/>
        <v>-0.05</v>
      </c>
      <c r="I54" s="211">
        <f t="shared" si="17"/>
        <v>-6.7000000000000004E-2</v>
      </c>
      <c r="J54" s="40">
        <v>-0.1</v>
      </c>
      <c r="K54" s="210">
        <f t="shared" si="18"/>
        <v>-2.0000000000000004E-2</v>
      </c>
      <c r="L54" s="211">
        <f t="shared" si="18"/>
        <v>-4.0000000000000008E-2</v>
      </c>
      <c r="M54" s="211">
        <f t="shared" si="18"/>
        <v>-0.06</v>
      </c>
      <c r="N54" s="40">
        <v>-0.1</v>
      </c>
      <c r="O54" s="29"/>
      <c r="P54" s="29"/>
      <c r="Q54" s="29"/>
      <c r="R54" s="29"/>
      <c r="S54" s="29"/>
      <c r="T54" s="29"/>
      <c r="U54" s="29"/>
      <c r="V54" s="29"/>
      <c r="W54" s="29"/>
      <c r="X54" s="29"/>
      <c r="Y54" s="29"/>
      <c r="Z54" s="29"/>
      <c r="AA54" s="29"/>
      <c r="AB54" s="29"/>
      <c r="AC54" s="29"/>
      <c r="AD54" s="29"/>
      <c r="AE54" s="316">
        <v>0</v>
      </c>
      <c r="AF54" s="316">
        <v>0</v>
      </c>
      <c r="AG54" s="316">
        <v>0</v>
      </c>
      <c r="AH54" s="29"/>
      <c r="AI54" s="29"/>
      <c r="AJ54" s="29"/>
      <c r="AK54" s="29"/>
      <c r="AL54" s="29"/>
      <c r="AM54" s="29"/>
      <c r="AN54" s="29"/>
    </row>
    <row r="55" spans="1:40" ht="14.4" customHeight="1">
      <c r="A55" s="56" t="str">
        <f>'Data Worksheet'!A18</f>
        <v>Other Revenue</v>
      </c>
      <c r="B55" s="68"/>
      <c r="C55" s="210">
        <f t="shared" si="16"/>
        <v>-4.0000000000000008E-2</v>
      </c>
      <c r="D55" s="211">
        <f t="shared" si="16"/>
        <v>-0.06</v>
      </c>
      <c r="E55" s="211">
        <f t="shared" si="16"/>
        <v>-8.0000000000000016E-2</v>
      </c>
      <c r="F55" s="40">
        <v>-0.1</v>
      </c>
      <c r="G55" s="210">
        <f t="shared" si="17"/>
        <v>-0.05</v>
      </c>
      <c r="H55" s="211">
        <f t="shared" si="17"/>
        <v>-0.1</v>
      </c>
      <c r="I55" s="211">
        <f t="shared" si="17"/>
        <v>-0.13400000000000001</v>
      </c>
      <c r="J55" s="40">
        <v>-0.2</v>
      </c>
      <c r="K55" s="210">
        <f t="shared" si="18"/>
        <v>-4.0000000000000008E-2</v>
      </c>
      <c r="L55" s="211">
        <f t="shared" si="18"/>
        <v>-8.0000000000000016E-2</v>
      </c>
      <c r="M55" s="211">
        <f t="shared" si="18"/>
        <v>-0.12</v>
      </c>
      <c r="N55" s="40">
        <v>-0.2</v>
      </c>
      <c r="O55" s="29"/>
      <c r="P55" s="29"/>
      <c r="Q55" s="29"/>
      <c r="R55" s="29"/>
      <c r="S55" s="29"/>
      <c r="T55" s="29"/>
      <c r="U55" s="29"/>
      <c r="V55" s="29"/>
      <c r="W55" s="29"/>
      <c r="X55" s="29"/>
      <c r="Y55" s="29"/>
      <c r="Z55" s="29"/>
      <c r="AA55" s="29"/>
      <c r="AB55" s="29"/>
      <c r="AC55" s="29"/>
      <c r="AD55" s="29"/>
      <c r="AE55" s="316">
        <v>-0.1</v>
      </c>
      <c r="AF55" s="316">
        <v>-0.2</v>
      </c>
      <c r="AG55" s="316">
        <v>-0.2</v>
      </c>
      <c r="AH55" s="29"/>
      <c r="AI55" s="29"/>
      <c r="AJ55" s="29"/>
      <c r="AK55" s="29"/>
      <c r="AL55" s="29"/>
      <c r="AM55" s="29"/>
      <c r="AN55" s="29"/>
    </row>
    <row r="56" spans="1:40" ht="14.4" customHeight="1">
      <c r="A56" s="56" t="str">
        <f>'Data Worksheet'!A19</f>
        <v>Charges for Services (Other)</v>
      </c>
      <c r="B56" s="68"/>
      <c r="C56" s="210">
        <f t="shared" si="16"/>
        <v>-8.0000000000000016E-2</v>
      </c>
      <c r="D56" s="211">
        <f t="shared" si="16"/>
        <v>-0.12</v>
      </c>
      <c r="E56" s="211">
        <f t="shared" si="16"/>
        <v>-0.16000000000000003</v>
      </c>
      <c r="F56" s="40">
        <v>-0.2</v>
      </c>
      <c r="G56" s="210">
        <f t="shared" si="17"/>
        <v>-7.4999999999999997E-2</v>
      </c>
      <c r="H56" s="211">
        <f t="shared" si="17"/>
        <v>-0.15</v>
      </c>
      <c r="I56" s="211">
        <f t="shared" si="17"/>
        <v>-0.20100000000000001</v>
      </c>
      <c r="J56" s="40">
        <v>-0.3</v>
      </c>
      <c r="K56" s="210">
        <f t="shared" si="18"/>
        <v>-0.06</v>
      </c>
      <c r="L56" s="211">
        <f t="shared" si="18"/>
        <v>-0.12</v>
      </c>
      <c r="M56" s="211">
        <f t="shared" si="18"/>
        <v>-0.18</v>
      </c>
      <c r="N56" s="40">
        <v>-0.3</v>
      </c>
      <c r="O56" s="29"/>
      <c r="P56" s="29"/>
      <c r="Q56" s="29"/>
      <c r="R56" s="29"/>
      <c r="S56" s="29"/>
      <c r="T56" s="29"/>
      <c r="U56" s="29"/>
      <c r="V56" s="29"/>
      <c r="W56" s="29"/>
      <c r="X56" s="29"/>
      <c r="Y56" s="29"/>
      <c r="Z56" s="29"/>
      <c r="AA56" s="29"/>
      <c r="AB56" s="29"/>
      <c r="AC56" s="29"/>
      <c r="AD56" s="29"/>
      <c r="AE56" s="316">
        <v>-0.2</v>
      </c>
      <c r="AF56" s="316">
        <v>-0.3</v>
      </c>
      <c r="AG56" s="316">
        <v>-0.3</v>
      </c>
      <c r="AH56" s="29"/>
      <c r="AI56" s="29"/>
      <c r="AJ56" s="29"/>
      <c r="AK56" s="29"/>
      <c r="AL56" s="29"/>
      <c r="AM56" s="29"/>
      <c r="AN56" s="29"/>
    </row>
    <row r="57" spans="1:40" ht="14.4" customHeight="1">
      <c r="A57" s="56" t="str">
        <f>'Data Worksheet'!A20</f>
        <v>Comm Develop/Planning Fees</v>
      </c>
      <c r="B57" s="68"/>
      <c r="C57" s="210">
        <f t="shared" si="16"/>
        <v>-8.0000000000000016E-2</v>
      </c>
      <c r="D57" s="211">
        <f t="shared" si="16"/>
        <v>-0.12</v>
      </c>
      <c r="E57" s="211">
        <f t="shared" si="16"/>
        <v>-0.16000000000000003</v>
      </c>
      <c r="F57" s="40">
        <v>-0.2</v>
      </c>
      <c r="G57" s="210">
        <f t="shared" si="17"/>
        <v>-7.4999999999999997E-2</v>
      </c>
      <c r="H57" s="211">
        <f t="shared" si="17"/>
        <v>-0.15</v>
      </c>
      <c r="I57" s="211">
        <f t="shared" si="17"/>
        <v>-0.20100000000000001</v>
      </c>
      <c r="J57" s="40">
        <v>-0.3</v>
      </c>
      <c r="K57" s="210">
        <f t="shared" si="18"/>
        <v>-0.06</v>
      </c>
      <c r="L57" s="211">
        <f t="shared" si="18"/>
        <v>-0.12</v>
      </c>
      <c r="M57" s="211">
        <f t="shared" si="18"/>
        <v>-0.18</v>
      </c>
      <c r="N57" s="40">
        <v>-0.3</v>
      </c>
      <c r="O57" s="29"/>
      <c r="P57" s="29"/>
      <c r="Q57" s="29"/>
      <c r="R57" s="29"/>
      <c r="S57" s="29"/>
      <c r="T57" s="29"/>
      <c r="U57" s="29"/>
      <c r="V57" s="29"/>
      <c r="W57" s="29"/>
      <c r="X57" s="29"/>
      <c r="Y57" s="29"/>
      <c r="Z57" s="29"/>
      <c r="AA57" s="29"/>
      <c r="AB57" s="29"/>
      <c r="AC57" s="29"/>
      <c r="AD57" s="29"/>
      <c r="AE57" s="316">
        <v>-0.2</v>
      </c>
      <c r="AF57" s="316">
        <v>-0.3</v>
      </c>
      <c r="AG57" s="316">
        <v>-0.3</v>
      </c>
      <c r="AH57" s="29"/>
      <c r="AI57" s="29"/>
      <c r="AJ57" s="29"/>
      <c r="AK57" s="29"/>
      <c r="AL57" s="29"/>
      <c r="AM57" s="29"/>
      <c r="AN57" s="29"/>
    </row>
    <row r="58" spans="1:40" ht="14.4" customHeight="1">
      <c r="A58" s="56" t="str">
        <f>'Data Worksheet'!A21</f>
        <v>Park &amp; Recreation Fees</v>
      </c>
      <c r="B58" s="68"/>
      <c r="C58" s="210">
        <f t="shared" si="16"/>
        <v>0</v>
      </c>
      <c r="D58" s="211">
        <f t="shared" si="16"/>
        <v>0</v>
      </c>
      <c r="E58" s="211">
        <f t="shared" si="16"/>
        <v>0</v>
      </c>
      <c r="F58" s="40">
        <v>0</v>
      </c>
      <c r="G58" s="210">
        <f t="shared" si="17"/>
        <v>0</v>
      </c>
      <c r="H58" s="211">
        <f t="shared" si="17"/>
        <v>0</v>
      </c>
      <c r="I58" s="211">
        <f t="shared" si="17"/>
        <v>0</v>
      </c>
      <c r="J58" s="40">
        <v>0</v>
      </c>
      <c r="K58" s="210">
        <f t="shared" si="18"/>
        <v>0</v>
      </c>
      <c r="L58" s="211">
        <f t="shared" si="18"/>
        <v>0</v>
      </c>
      <c r="M58" s="211">
        <f t="shared" si="18"/>
        <v>0</v>
      </c>
      <c r="N58" s="40">
        <v>0</v>
      </c>
      <c r="O58" s="29"/>
      <c r="P58" s="29"/>
      <c r="Q58" s="29"/>
      <c r="R58" s="29"/>
      <c r="S58" s="29"/>
      <c r="T58" s="29"/>
      <c r="U58" s="29"/>
      <c r="V58" s="29"/>
      <c r="W58" s="29"/>
      <c r="X58" s="29"/>
      <c r="Y58" s="29"/>
      <c r="Z58" s="29"/>
      <c r="AA58" s="29"/>
      <c r="AB58" s="29"/>
      <c r="AC58" s="29"/>
      <c r="AD58" s="29"/>
      <c r="AE58" s="316">
        <v>-0.25</v>
      </c>
      <c r="AF58" s="316">
        <v>-0.3</v>
      </c>
      <c r="AG58" s="316">
        <v>-0.3</v>
      </c>
      <c r="AH58" s="29"/>
      <c r="AI58" s="29"/>
      <c r="AJ58" s="29"/>
      <c r="AK58" s="29"/>
      <c r="AL58" s="29"/>
      <c r="AM58" s="29"/>
      <c r="AN58" s="29"/>
    </row>
    <row r="59" spans="1:40" ht="14.4" customHeight="1">
      <c r="A59" s="56" t="str">
        <f>'Data Worksheet'!A22</f>
        <v>Fines and forfeitures</v>
      </c>
      <c r="B59" s="68"/>
      <c r="C59" s="210">
        <f t="shared" si="16"/>
        <v>0</v>
      </c>
      <c r="D59" s="211">
        <f t="shared" si="16"/>
        <v>0</v>
      </c>
      <c r="E59" s="211">
        <f t="shared" si="16"/>
        <v>0</v>
      </c>
      <c r="F59" s="40">
        <v>0</v>
      </c>
      <c r="G59" s="210">
        <f t="shared" si="17"/>
        <v>0</v>
      </c>
      <c r="H59" s="211">
        <f t="shared" si="17"/>
        <v>0</v>
      </c>
      <c r="I59" s="211">
        <f t="shared" si="17"/>
        <v>0</v>
      </c>
      <c r="J59" s="40">
        <v>0</v>
      </c>
      <c r="K59" s="210">
        <f t="shared" si="18"/>
        <v>0</v>
      </c>
      <c r="L59" s="211">
        <f t="shared" si="18"/>
        <v>0</v>
      </c>
      <c r="M59" s="211">
        <f t="shared" si="18"/>
        <v>0</v>
      </c>
      <c r="N59" s="40">
        <v>0</v>
      </c>
      <c r="O59" s="29"/>
      <c r="P59" s="29"/>
      <c r="Q59" s="29"/>
      <c r="R59" s="29"/>
      <c r="S59" s="29"/>
      <c r="T59" s="29"/>
      <c r="U59" s="29"/>
      <c r="V59" s="29"/>
      <c r="W59" s="29"/>
      <c r="X59" s="29"/>
      <c r="Y59" s="29"/>
      <c r="Z59" s="29"/>
      <c r="AA59" s="29"/>
      <c r="AB59" s="29"/>
      <c r="AC59" s="29"/>
      <c r="AD59" s="29"/>
      <c r="AE59" s="316">
        <v>-0.2</v>
      </c>
      <c r="AF59" s="316">
        <v>-0.25</v>
      </c>
      <c r="AG59" s="316">
        <v>-0.25</v>
      </c>
      <c r="AH59" s="29"/>
      <c r="AI59" s="29"/>
      <c r="AJ59" s="29"/>
      <c r="AK59" s="29"/>
      <c r="AL59" s="29"/>
      <c r="AM59" s="29"/>
      <c r="AN59" s="29"/>
    </row>
    <row r="60" spans="1:40" ht="14.4" customHeight="1">
      <c r="A60" s="56" t="str">
        <f>'Data Worksheet'!A24</f>
        <v>Rental income</v>
      </c>
      <c r="B60" s="89"/>
      <c r="C60" s="210">
        <f>$F60*C$44</f>
        <v>-0.2</v>
      </c>
      <c r="D60" s="211">
        <f>$F60*D$44</f>
        <v>-0.3</v>
      </c>
      <c r="E60" s="211">
        <f>$F60*E$44</f>
        <v>-0.4</v>
      </c>
      <c r="F60" s="40">
        <v>-0.5</v>
      </c>
      <c r="G60" s="210">
        <f>$J60*G$44</f>
        <v>-3.7499999999999999E-2</v>
      </c>
      <c r="H60" s="211">
        <f>$J60*H$44</f>
        <v>-7.4999999999999997E-2</v>
      </c>
      <c r="I60" s="211">
        <f>$J60*I$44</f>
        <v>-0.10050000000000001</v>
      </c>
      <c r="J60" s="40">
        <v>-0.15</v>
      </c>
      <c r="K60" s="210">
        <f>$N60*K$44</f>
        <v>-0.03</v>
      </c>
      <c r="L60" s="211">
        <f>$N60*L$44</f>
        <v>-0.06</v>
      </c>
      <c r="M60" s="211">
        <f>$N60*M$44</f>
        <v>-0.09</v>
      </c>
      <c r="N60" s="40">
        <v>-0.15</v>
      </c>
      <c r="O60" s="29"/>
      <c r="P60" s="29"/>
      <c r="Q60" s="29"/>
      <c r="R60" s="29"/>
      <c r="S60" s="29"/>
      <c r="T60" s="29"/>
      <c r="U60" s="29"/>
      <c r="V60" s="29"/>
      <c r="W60" s="29"/>
      <c r="X60" s="29"/>
      <c r="Y60" s="29"/>
      <c r="Z60" s="29"/>
      <c r="AA60" s="29"/>
      <c r="AB60" s="29"/>
      <c r="AC60" s="29"/>
      <c r="AD60" s="29"/>
      <c r="AE60" s="316">
        <v>0</v>
      </c>
      <c r="AF60" s="316">
        <v>0</v>
      </c>
      <c r="AG60" s="316">
        <v>0</v>
      </c>
      <c r="AH60" s="29"/>
      <c r="AI60" s="29"/>
      <c r="AJ60" s="29"/>
      <c r="AK60" s="29"/>
      <c r="AL60" s="29"/>
      <c r="AM60" s="29"/>
      <c r="AN60" s="29"/>
    </row>
    <row r="61" spans="1:40" ht="14.4" customHeight="1">
      <c r="A61" s="56" t="str">
        <f>'Data Worksheet'!A25</f>
        <v>Other financing sources</v>
      </c>
      <c r="B61" s="68"/>
      <c r="C61" s="210">
        <f t="shared" si="16"/>
        <v>0</v>
      </c>
      <c r="D61" s="211">
        <f t="shared" si="16"/>
        <v>0</v>
      </c>
      <c r="E61" s="211">
        <f t="shared" si="16"/>
        <v>0</v>
      </c>
      <c r="F61" s="40">
        <v>0</v>
      </c>
      <c r="G61" s="210">
        <f t="shared" si="17"/>
        <v>0</v>
      </c>
      <c r="H61" s="211">
        <f t="shared" si="17"/>
        <v>0</v>
      </c>
      <c r="I61" s="211">
        <f t="shared" si="17"/>
        <v>0</v>
      </c>
      <c r="J61" s="40">
        <v>0</v>
      </c>
      <c r="K61" s="210">
        <f t="shared" si="18"/>
        <v>0</v>
      </c>
      <c r="L61" s="211">
        <f t="shared" si="18"/>
        <v>0</v>
      </c>
      <c r="M61" s="211">
        <f t="shared" si="18"/>
        <v>0</v>
      </c>
      <c r="N61" s="40">
        <v>0</v>
      </c>
      <c r="O61" s="29"/>
      <c r="P61" s="29"/>
      <c r="Q61" s="29"/>
      <c r="R61" s="29"/>
      <c r="S61" s="29"/>
      <c r="T61" s="29"/>
      <c r="U61" s="29"/>
      <c r="V61" s="29"/>
      <c r="W61" s="29"/>
      <c r="X61" s="29"/>
      <c r="Y61" s="29"/>
      <c r="Z61" s="29"/>
      <c r="AA61" s="29"/>
      <c r="AB61" s="29"/>
      <c r="AC61" s="29"/>
      <c r="AD61" s="29"/>
      <c r="AE61" s="316">
        <v>0</v>
      </c>
      <c r="AF61" s="316">
        <v>0</v>
      </c>
      <c r="AG61" s="316">
        <v>0</v>
      </c>
      <c r="AH61" s="29"/>
      <c r="AI61" s="29"/>
      <c r="AJ61" s="29"/>
      <c r="AK61" s="29"/>
      <c r="AL61" s="29"/>
      <c r="AM61" s="29"/>
      <c r="AN61" s="29"/>
    </row>
    <row r="62" spans="1:40" ht="14.4" customHeight="1" thickBot="1">
      <c r="A62" s="111" t="str">
        <f>'Data Worksheet'!A26</f>
        <v>Transfers In</v>
      </c>
      <c r="B62" s="93"/>
      <c r="C62" s="212">
        <f t="shared" si="16"/>
        <v>0</v>
      </c>
      <c r="D62" s="213">
        <f t="shared" si="16"/>
        <v>0</v>
      </c>
      <c r="E62" s="213">
        <f t="shared" si="16"/>
        <v>0</v>
      </c>
      <c r="F62" s="41">
        <v>0</v>
      </c>
      <c r="G62" s="212">
        <f t="shared" si="17"/>
        <v>0</v>
      </c>
      <c r="H62" s="213">
        <f t="shared" si="17"/>
        <v>0</v>
      </c>
      <c r="I62" s="213">
        <f t="shared" si="17"/>
        <v>0</v>
      </c>
      <c r="J62" s="41">
        <v>0</v>
      </c>
      <c r="K62" s="212">
        <f t="shared" si="18"/>
        <v>0</v>
      </c>
      <c r="L62" s="213">
        <f t="shared" si="18"/>
        <v>0</v>
      </c>
      <c r="M62" s="213">
        <f t="shared" si="18"/>
        <v>0</v>
      </c>
      <c r="N62" s="46">
        <v>0</v>
      </c>
      <c r="O62" s="29"/>
      <c r="P62" s="29"/>
      <c r="Q62" s="29"/>
      <c r="R62" s="29"/>
      <c r="S62" s="29"/>
      <c r="T62" s="29"/>
      <c r="U62" s="29"/>
      <c r="V62" s="29"/>
      <c r="W62" s="29"/>
      <c r="X62" s="29"/>
      <c r="Y62" s="29"/>
      <c r="Z62" s="29"/>
      <c r="AA62" s="29"/>
      <c r="AB62" s="29"/>
      <c r="AC62" s="29"/>
      <c r="AD62" s="29"/>
      <c r="AE62" s="318">
        <v>0</v>
      </c>
      <c r="AF62" s="318">
        <v>0</v>
      </c>
      <c r="AG62" s="319">
        <v>0</v>
      </c>
      <c r="AH62" s="29"/>
      <c r="AI62" s="29"/>
      <c r="AJ62" s="29"/>
      <c r="AK62" s="29"/>
      <c r="AL62" s="29"/>
      <c r="AM62" s="29"/>
      <c r="AN62" s="29"/>
    </row>
    <row r="63" spans="1:40" ht="14.4" customHeight="1" thickBot="1">
      <c r="A63" s="99" t="s">
        <v>255</v>
      </c>
      <c r="B63" s="100"/>
      <c r="C63" s="141"/>
      <c r="D63" s="64"/>
      <c r="E63" s="64"/>
      <c r="F63" s="72"/>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row>
    <row r="64" spans="1:40" ht="13.95" customHeight="1">
      <c r="A64" s="86" t="s">
        <v>85</v>
      </c>
      <c r="B64" s="101"/>
      <c r="C64" s="113" t="s">
        <v>367</v>
      </c>
      <c r="D64" s="114" t="s">
        <v>368</v>
      </c>
      <c r="E64" s="114" t="s">
        <v>361</v>
      </c>
      <c r="F64" s="114" t="s">
        <v>362</v>
      </c>
      <c r="G64" s="320" t="s">
        <v>133</v>
      </c>
      <c r="H64" s="105" t="s">
        <v>299</v>
      </c>
      <c r="I64" s="65"/>
      <c r="J64" s="65"/>
      <c r="K64" s="65"/>
      <c r="L64" s="106"/>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row>
    <row r="65" spans="1:40" ht="13.95" customHeight="1">
      <c r="A65" s="56" t="str">
        <f>'Data Worksheet'!A7</f>
        <v>Property Tax</v>
      </c>
      <c r="B65" s="102"/>
      <c r="C65" s="214">
        <f>IF('Data Worksheet'!B7="","",'Data Worksheet'!B7)</f>
        <v>4.8233860000000002</v>
      </c>
      <c r="D65" s="214">
        <f>IF('Data Worksheet'!C7="","",'Data Worksheet'!C7)</f>
        <v>5.0508639999999998</v>
      </c>
      <c r="E65" s="214">
        <f>IF('Data Worksheet'!D7="","",'Data Worksheet'!D7)</f>
        <v>5.3040000000000003</v>
      </c>
      <c r="F65" s="214">
        <f>IF('Data Worksheet'!E7="","",'Data Worksheet'!E7)</f>
        <v>0</v>
      </c>
      <c r="G65" s="215">
        <f>'Data Worksheet'!F7</f>
        <v>1.4999999999999999E-2</v>
      </c>
      <c r="H65" s="107" t="s">
        <v>298</v>
      </c>
      <c r="I65" s="68"/>
      <c r="J65" s="68"/>
      <c r="K65" s="68"/>
      <c r="L65" s="108"/>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row>
    <row r="66" spans="1:40" ht="13.95" customHeight="1">
      <c r="A66" s="56" t="str">
        <f>'Data Worksheet'!A8</f>
        <v>Sales Tax</v>
      </c>
      <c r="B66" s="102"/>
      <c r="C66" s="214">
        <f>IF('Data Worksheet'!B8="","",'Data Worksheet'!B8)</f>
        <v>3.1167539999999998</v>
      </c>
      <c r="D66" s="214">
        <f>IF('Data Worksheet'!C8="","",'Data Worksheet'!C8)</f>
        <v>3.493528</v>
      </c>
      <c r="E66" s="214">
        <f>IF('Data Worksheet'!D8="","",'Data Worksheet'!D8)</f>
        <v>3.5979999999999999</v>
      </c>
      <c r="F66" s="214">
        <f>IF('Data Worksheet'!E8="","",'Data Worksheet'!E8)</f>
        <v>0</v>
      </c>
      <c r="G66" s="215">
        <f>'Data Worksheet'!F8</f>
        <v>0.03</v>
      </c>
      <c r="H66" s="107" t="s">
        <v>152</v>
      </c>
      <c r="I66" s="68"/>
      <c r="J66" s="68"/>
      <c r="K66" s="68"/>
      <c r="L66" s="108"/>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row>
    <row r="67" spans="1:40" ht="13.95" customHeight="1">
      <c r="A67" s="56" t="str">
        <f>'Data Worksheet'!A9</f>
        <v>Local Sales Tax</v>
      </c>
      <c r="B67" s="102"/>
      <c r="C67" s="214">
        <f>IF('Data Worksheet'!B9="","",'Data Worksheet'!B9)</f>
        <v>0</v>
      </c>
      <c r="D67" s="214">
        <f>IF('Data Worksheet'!C9="","",'Data Worksheet'!C9)</f>
        <v>0</v>
      </c>
      <c r="E67" s="214">
        <f>IF('Data Worksheet'!D9="","",'Data Worksheet'!D9)</f>
        <v>0</v>
      </c>
      <c r="F67" s="214">
        <f>IF('Data Worksheet'!E9="","",'Data Worksheet'!E9)</f>
        <v>0</v>
      </c>
      <c r="G67" s="215">
        <f>'Data Worksheet'!F9</f>
        <v>0.03</v>
      </c>
      <c r="H67" s="107"/>
      <c r="I67" s="68"/>
      <c r="J67" s="68"/>
      <c r="K67" s="68"/>
      <c r="L67" s="108"/>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row>
    <row r="68" spans="1:40" ht="13.95" customHeight="1">
      <c r="A68" s="56" t="str">
        <f>'Data Worksheet'!A10</f>
        <v>Utility Tax</v>
      </c>
      <c r="B68" s="102"/>
      <c r="C68" s="214">
        <f>IF('Data Worksheet'!B10="","",'Data Worksheet'!B10)</f>
        <v>1.13351</v>
      </c>
      <c r="D68" s="214">
        <f>IF('Data Worksheet'!C10="","",'Data Worksheet'!C10)</f>
        <v>1.0299750000000001</v>
      </c>
      <c r="E68" s="214">
        <f>IF('Data Worksheet'!D10="","",'Data Worksheet'!D10)</f>
        <v>1.239355</v>
      </c>
      <c r="F68" s="214">
        <f>IF('Data Worksheet'!E10="","",'Data Worksheet'!E10)</f>
        <v>0</v>
      </c>
      <c r="G68" s="215">
        <f>'Data Worksheet'!F10</f>
        <v>0.02</v>
      </c>
      <c r="H68" s="107" t="s">
        <v>369</v>
      </c>
      <c r="I68" s="68"/>
      <c r="J68" s="68"/>
      <c r="K68" s="68"/>
      <c r="L68" s="108"/>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row>
    <row r="69" spans="1:40" ht="13.95" customHeight="1">
      <c r="A69" s="56" t="str">
        <f>'Data Worksheet'!A11</f>
        <v>B&amp;O Tax</v>
      </c>
      <c r="B69" s="102"/>
      <c r="C69" s="214">
        <f>IF('Data Worksheet'!B11="","",'Data Worksheet'!B11)</f>
        <v>2.4156E-2</v>
      </c>
      <c r="D69" s="214">
        <f>IF('Data Worksheet'!C11="","",'Data Worksheet'!C11)</f>
        <v>2.1073000000000001E-2</v>
      </c>
      <c r="E69" s="214">
        <f>IF('Data Worksheet'!D11="","",'Data Worksheet'!D11)</f>
        <v>1.9434E-2</v>
      </c>
      <c r="F69" s="214">
        <f>IF('Data Worksheet'!E11="","",'Data Worksheet'!E11)</f>
        <v>0</v>
      </c>
      <c r="G69" s="215">
        <f>'Data Worksheet'!F11</f>
        <v>0.03</v>
      </c>
      <c r="H69" s="107" t="s">
        <v>153</v>
      </c>
      <c r="I69" s="68"/>
      <c r="J69" s="68"/>
      <c r="K69" s="68"/>
      <c r="L69" s="108"/>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row>
    <row r="70" spans="1:40" ht="13.95" customHeight="1">
      <c r="A70" s="56" t="str">
        <f>'Data Worksheet'!A12</f>
        <v>Gambling Tax</v>
      </c>
      <c r="B70" s="102"/>
      <c r="C70" s="214">
        <f>IF('Data Worksheet'!B12="","",'Data Worksheet'!B12)</f>
        <v>8.1794999999999993E-2</v>
      </c>
      <c r="D70" s="214">
        <f>IF('Data Worksheet'!C12="","",'Data Worksheet'!C12)</f>
        <v>0.102438</v>
      </c>
      <c r="E70" s="214">
        <f>IF('Data Worksheet'!D12="","",'Data Worksheet'!D12)</f>
        <v>7.1999999999999995E-2</v>
      </c>
      <c r="F70" s="214">
        <f>IF('Data Worksheet'!E12="","",'Data Worksheet'!E12)</f>
        <v>0</v>
      </c>
      <c r="G70" s="215">
        <f>'Data Worksheet'!F12</f>
        <v>0.01</v>
      </c>
      <c r="H70" s="107" t="s">
        <v>300</v>
      </c>
      <c r="I70" s="68"/>
      <c r="J70" s="68"/>
      <c r="K70" s="68"/>
      <c r="L70" s="108"/>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row>
    <row r="71" spans="1:40" ht="13.95" customHeight="1">
      <c r="A71" s="56" t="str">
        <f>'Data Worksheet'!A13</f>
        <v>Telecom Franchise Fees</v>
      </c>
      <c r="B71" s="102"/>
      <c r="C71" s="214">
        <f>IF('Data Worksheet'!B13="","",'Data Worksheet'!B13)</f>
        <v>0.32154100000000002</v>
      </c>
      <c r="D71" s="214">
        <f>IF('Data Worksheet'!C13="","",'Data Worksheet'!C13)</f>
        <v>0.31985599999999997</v>
      </c>
      <c r="E71" s="214">
        <f>IF('Data Worksheet'!D13="","",'Data Worksheet'!D13)</f>
        <v>0.3135</v>
      </c>
      <c r="F71" s="214">
        <f>IF('Data Worksheet'!E13="","",'Data Worksheet'!E13)</f>
        <v>0</v>
      </c>
      <c r="G71" s="215">
        <f>'Data Worksheet'!F13</f>
        <v>-0.02</v>
      </c>
      <c r="H71" s="107" t="s">
        <v>301</v>
      </c>
      <c r="I71" s="68"/>
      <c r="J71" s="68"/>
      <c r="K71" s="68"/>
      <c r="L71" s="108"/>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row>
    <row r="72" spans="1:40" ht="13.95" customHeight="1">
      <c r="A72" s="56" t="str">
        <f>'Data Worksheet'!A14</f>
        <v>Water/Sewer Franchise Fees</v>
      </c>
      <c r="B72" s="102"/>
      <c r="C72" s="214">
        <f>IF('Data Worksheet'!B14="","",'Data Worksheet'!B14)</f>
        <v>0.54818599999999995</v>
      </c>
      <c r="D72" s="214">
        <f>IF('Data Worksheet'!C14="","",'Data Worksheet'!C14)</f>
        <v>0.55501599999999995</v>
      </c>
      <c r="E72" s="214">
        <f>IF('Data Worksheet'!D14="","",'Data Worksheet'!D14)</f>
        <v>0.58298000000000005</v>
      </c>
      <c r="F72" s="214">
        <f>IF('Data Worksheet'!E14="","",'Data Worksheet'!E14)</f>
        <v>0</v>
      </c>
      <c r="G72" s="215">
        <f>'Data Worksheet'!F14</f>
        <v>0.02</v>
      </c>
      <c r="H72" s="107" t="s">
        <v>154</v>
      </c>
      <c r="I72" s="68"/>
      <c r="J72" s="68"/>
      <c r="K72" s="68"/>
      <c r="L72" s="108"/>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row>
    <row r="73" spans="1:40" ht="13.95" customHeight="1">
      <c r="A73" s="56" t="str">
        <f>'Data Worksheet'!A15</f>
        <v>Reimbursements</v>
      </c>
      <c r="B73" s="102"/>
      <c r="C73" s="214">
        <f>IF('Data Worksheet'!B15="","",'Data Worksheet'!B15)</f>
        <v>0.25161300000000003</v>
      </c>
      <c r="D73" s="214">
        <f>IF('Data Worksheet'!C15="","",'Data Worksheet'!C15)</f>
        <v>0.163136</v>
      </c>
      <c r="E73" s="214">
        <f>IF('Data Worksheet'!D15="","",'Data Worksheet'!D15)</f>
        <v>0.793493</v>
      </c>
      <c r="F73" s="214">
        <f>IF('Data Worksheet'!E15="","",'Data Worksheet'!E15)</f>
        <v>0</v>
      </c>
      <c r="G73" s="215">
        <f>'Data Worksheet'!F15</f>
        <v>0</v>
      </c>
      <c r="H73" s="56"/>
      <c r="I73" s="68"/>
      <c r="J73" s="68"/>
      <c r="K73" s="68"/>
      <c r="L73" s="108"/>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row>
    <row r="74" spans="1:40" ht="13.95" customHeight="1">
      <c r="A74" s="56" t="str">
        <f>'Data Worksheet'!A16</f>
        <v>All Other Taxes</v>
      </c>
      <c r="B74" s="102"/>
      <c r="C74" s="214">
        <f>IF('Data Worksheet'!B16="","",'Data Worksheet'!B16)</f>
        <v>6.6200999999999954E-2</v>
      </c>
      <c r="D74" s="214">
        <f>IF('Data Worksheet'!C16="","",'Data Worksheet'!C16)</f>
        <v>6.565600000000002E-2</v>
      </c>
      <c r="E74" s="214">
        <f>IF('Data Worksheet'!D16="","",'Data Worksheet'!D16)</f>
        <v>1.7022000000000051E-2</v>
      </c>
      <c r="F74" s="214">
        <f>IF('Data Worksheet'!E16="","",'Data Worksheet'!E16)</f>
        <v>0</v>
      </c>
      <c r="G74" s="215">
        <f>'Data Worksheet'!F16</f>
        <v>0</v>
      </c>
      <c r="H74" s="56"/>
      <c r="I74" s="68"/>
      <c r="J74" s="68"/>
      <c r="K74" s="68"/>
      <c r="L74" s="108"/>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row>
    <row r="75" spans="1:40" ht="13.95" customHeight="1">
      <c r="A75" s="56" t="str">
        <f>'Data Worksheet'!A17</f>
        <v>Intergovernmental</v>
      </c>
      <c r="B75" s="102"/>
      <c r="C75" s="214">
        <f>IF('Data Worksheet'!B17="","",'Data Worksheet'!B17)</f>
        <v>0.53071100000000004</v>
      </c>
      <c r="D75" s="214">
        <f>IF('Data Worksheet'!C17="","",'Data Worksheet'!C17)</f>
        <v>0.49243700000000001</v>
      </c>
      <c r="E75" s="214">
        <f>IF('Data Worksheet'!D17="","",'Data Worksheet'!D17)</f>
        <v>0.51041400000000003</v>
      </c>
      <c r="F75" s="214">
        <f>IF('Data Worksheet'!E17="","",'Data Worksheet'!E17)</f>
        <v>0</v>
      </c>
      <c r="G75" s="215">
        <f>'Data Worksheet'!F17</f>
        <v>0</v>
      </c>
      <c r="H75" s="56"/>
      <c r="I75" s="68"/>
      <c r="J75" s="68"/>
      <c r="K75" s="68"/>
      <c r="L75" s="108"/>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row>
    <row r="76" spans="1:40" ht="13.95" customHeight="1">
      <c r="A76" s="56" t="str">
        <f>'Data Worksheet'!A18</f>
        <v>Other Revenue</v>
      </c>
      <c r="B76" s="102"/>
      <c r="C76" s="214">
        <f>IF('Data Worksheet'!B18="","",'Data Worksheet'!B18)</f>
        <v>3.0911000000000001E-2</v>
      </c>
      <c r="D76" s="214">
        <f>IF('Data Worksheet'!C18="","",'Data Worksheet'!C18)</f>
        <v>9.9799999999999993E-3</v>
      </c>
      <c r="E76" s="214">
        <f>IF('Data Worksheet'!D18="","",'Data Worksheet'!D18)</f>
        <v>1.0212000000000001E-2</v>
      </c>
      <c r="F76" s="214">
        <f>IF('Data Worksheet'!E18="","",'Data Worksheet'!E18)</f>
        <v>0</v>
      </c>
      <c r="G76" s="215">
        <f>'Data Worksheet'!F18</f>
        <v>0</v>
      </c>
      <c r="H76" s="56"/>
      <c r="I76" s="68"/>
      <c r="J76" s="68"/>
      <c r="K76" s="68"/>
      <c r="L76" s="108"/>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row>
    <row r="77" spans="1:40" ht="13.95" customHeight="1">
      <c r="A77" s="56" t="str">
        <f>'Data Worksheet'!A19</f>
        <v>Charges for Services (Other)</v>
      </c>
      <c r="B77" s="102"/>
      <c r="C77" s="214">
        <f>IF('Data Worksheet'!B19="","",'Data Worksheet'!B19)</f>
        <v>1.3190000000000101E-2</v>
      </c>
      <c r="D77" s="214">
        <f>IF('Data Worksheet'!C19="","",'Data Worksheet'!C19)</f>
        <v>9.7559999999999938E-3</v>
      </c>
      <c r="E77" s="214">
        <f>IF('Data Worksheet'!D19="","",'Data Worksheet'!D19)</f>
        <v>1.4849000000000064E-2</v>
      </c>
      <c r="F77" s="214">
        <f>IF('Data Worksheet'!E19="","",'Data Worksheet'!E19)</f>
        <v>0</v>
      </c>
      <c r="G77" s="215">
        <f>'Data Worksheet'!F19</f>
        <v>0</v>
      </c>
      <c r="H77" s="56"/>
      <c r="I77" s="68"/>
      <c r="J77" s="68"/>
      <c r="K77" s="68"/>
      <c r="L77" s="108"/>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row>
    <row r="78" spans="1:40" ht="13.95" customHeight="1">
      <c r="A78" s="56" t="str">
        <f>'Data Worksheet'!A20</f>
        <v>Comm Develop/Planning Fees</v>
      </c>
      <c r="B78" s="102"/>
      <c r="C78" s="214">
        <f>IF('Data Worksheet'!B20="","",'Data Worksheet'!B20)</f>
        <v>1.2524919999999999</v>
      </c>
      <c r="D78" s="214">
        <f>IF('Data Worksheet'!C20="","",'Data Worksheet'!C20)</f>
        <v>1.000626</v>
      </c>
      <c r="E78" s="214">
        <f>IF('Data Worksheet'!D20="","",'Data Worksheet'!D20)</f>
        <v>0.90087799999999996</v>
      </c>
      <c r="F78" s="214">
        <f>IF('Data Worksheet'!E20="","",'Data Worksheet'!E20)</f>
        <v>0</v>
      </c>
      <c r="G78" s="215">
        <f>'Data Worksheet'!F20</f>
        <v>0</v>
      </c>
      <c r="H78" s="56"/>
      <c r="I78" s="68"/>
      <c r="J78" s="68"/>
      <c r="K78" s="68"/>
      <c r="L78" s="108"/>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row>
    <row r="79" spans="1:40" ht="13.95" customHeight="1">
      <c r="A79" s="56" t="str">
        <f>'Data Worksheet'!A21</f>
        <v>Park &amp; Recreation Fees</v>
      </c>
      <c r="B79" s="102"/>
      <c r="C79" s="214">
        <f>IF('Data Worksheet'!B21="","",'Data Worksheet'!B21)</f>
        <v>0</v>
      </c>
      <c r="D79" s="214">
        <f>IF('Data Worksheet'!C21="","",'Data Worksheet'!C21)</f>
        <v>0</v>
      </c>
      <c r="E79" s="214">
        <f>IF('Data Worksheet'!D21="","",'Data Worksheet'!D21)</f>
        <v>0</v>
      </c>
      <c r="F79" s="214">
        <f>IF('Data Worksheet'!E21="","",'Data Worksheet'!E21)</f>
        <v>0</v>
      </c>
      <c r="G79" s="215">
        <f>'Data Worksheet'!F21</f>
        <v>0</v>
      </c>
      <c r="H79" s="56"/>
      <c r="I79" s="68"/>
      <c r="J79" s="109" t="s">
        <v>187</v>
      </c>
      <c r="K79" s="68"/>
      <c r="L79" s="108"/>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row>
    <row r="80" spans="1:40" ht="13.95" customHeight="1">
      <c r="A80" s="56" t="str">
        <f>'Data Worksheet'!A22</f>
        <v>Fines and forfeitures</v>
      </c>
      <c r="B80" s="102"/>
      <c r="C80" s="214">
        <f>IF('Data Worksheet'!B22="","",'Data Worksheet'!B22)</f>
        <v>1.555E-3</v>
      </c>
      <c r="D80" s="214">
        <f>IF('Data Worksheet'!C22="","",'Data Worksheet'!C22)</f>
        <v>1.27E-4</v>
      </c>
      <c r="E80" s="214">
        <f>IF('Data Worksheet'!D22="","",'Data Worksheet'!D22)</f>
        <v>0</v>
      </c>
      <c r="F80" s="214">
        <f>IF('Data Worksheet'!E22="","",'Data Worksheet'!E22)</f>
        <v>0</v>
      </c>
      <c r="G80" s="215">
        <f>'Data Worksheet'!F22</f>
        <v>0</v>
      </c>
      <c r="H80" s="56"/>
      <c r="I80" s="110"/>
      <c r="J80" s="109" t="s">
        <v>169</v>
      </c>
      <c r="K80" s="110"/>
      <c r="L80" s="108"/>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row>
    <row r="81" spans="1:40" ht="13.95" customHeight="1">
      <c r="A81" s="56" t="str">
        <f>'Data Worksheet'!A23</f>
        <v>Interest Earnings</v>
      </c>
      <c r="B81" s="102"/>
      <c r="C81" s="214">
        <f>IF('Data Worksheet'!B23="","",'Data Worksheet'!B23)</f>
        <v>7.8332000000000013E-2</v>
      </c>
      <c r="D81" s="214">
        <f>IF('Data Worksheet'!C23="","",'Data Worksheet'!C23)</f>
        <v>8.7099999999999997E-2</v>
      </c>
      <c r="E81" s="214">
        <f>IF('Data Worksheet'!D23="","",'Data Worksheet'!D23)</f>
        <v>4.7899999999999998E-2</v>
      </c>
      <c r="F81" s="214">
        <f>IF('Data Worksheet'!E23="","",'Data Worksheet'!E23)</f>
        <v>0</v>
      </c>
      <c r="G81" s="216"/>
      <c r="H81" s="56"/>
      <c r="I81" s="110"/>
      <c r="J81" s="110"/>
      <c r="K81" s="110"/>
      <c r="L81" s="108"/>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row>
    <row r="82" spans="1:40" ht="13.95" customHeight="1">
      <c r="A82" s="56" t="str">
        <f>'Data Worksheet'!A24</f>
        <v>Rental income</v>
      </c>
      <c r="B82" s="102"/>
      <c r="C82" s="214">
        <f>IF('Data Worksheet'!B24="","",'Data Worksheet'!B24)</f>
        <v>1.25E-4</v>
      </c>
      <c r="D82" s="214">
        <f>IF('Data Worksheet'!C24="","",'Data Worksheet'!C24)</f>
        <v>3.6884E-2</v>
      </c>
      <c r="E82" s="214">
        <f>IF('Data Worksheet'!D24="","",'Data Worksheet'!D24)</f>
        <v>8.8700000000000001E-2</v>
      </c>
      <c r="F82" s="214">
        <f>IF('Data Worksheet'!E24="","",'Data Worksheet'!E24)</f>
        <v>0</v>
      </c>
      <c r="G82" s="215">
        <f>'Data Worksheet'!F24</f>
        <v>0</v>
      </c>
      <c r="H82" s="56"/>
      <c r="I82" s="110"/>
      <c r="J82" s="110"/>
      <c r="K82" s="110"/>
      <c r="L82" s="108"/>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row>
    <row r="83" spans="1:40" ht="13.95" customHeight="1">
      <c r="A83" s="56" t="str">
        <f>'Data Worksheet'!A25</f>
        <v>Other financing sources</v>
      </c>
      <c r="B83" s="102"/>
      <c r="C83" s="214">
        <f>IF('Data Worksheet'!B25="","",'Data Worksheet'!B25)</f>
        <v>0</v>
      </c>
      <c r="D83" s="214">
        <f>IF('Data Worksheet'!C25="","",'Data Worksheet'!C25)</f>
        <v>0</v>
      </c>
      <c r="E83" s="214">
        <f>IF('Data Worksheet'!D25="","",'Data Worksheet'!D25)</f>
        <v>0</v>
      </c>
      <c r="F83" s="214">
        <f>IF('Data Worksheet'!E25="","",'Data Worksheet'!E25)</f>
        <v>0</v>
      </c>
      <c r="G83" s="215">
        <f>'Data Worksheet'!F25</f>
        <v>0</v>
      </c>
      <c r="H83" s="56"/>
      <c r="I83" s="68"/>
      <c r="J83" s="68"/>
      <c r="K83" s="68"/>
      <c r="L83" s="108"/>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row>
    <row r="84" spans="1:40" ht="13.95" customHeight="1">
      <c r="A84" s="56" t="str">
        <f>'Data Worksheet'!A26</f>
        <v>Transfers In</v>
      </c>
      <c r="B84" s="102"/>
      <c r="C84" s="214">
        <f>IF('Data Worksheet'!B26="","",'Data Worksheet'!B26)</f>
        <v>1.1964319999999999</v>
      </c>
      <c r="D84" s="214">
        <f>IF('Data Worksheet'!C26="","",'Data Worksheet'!C26)</f>
        <v>0.67256499999999997</v>
      </c>
      <c r="E84" s="214">
        <f>IF('Data Worksheet'!D26="","",'Data Worksheet'!D26)</f>
        <v>0.13700000000000001</v>
      </c>
      <c r="F84" s="214">
        <f>IF('Data Worksheet'!E26="","",'Data Worksheet'!E26)</f>
        <v>0</v>
      </c>
      <c r="G84" s="215">
        <f>'Data Worksheet'!F26</f>
        <v>0</v>
      </c>
      <c r="H84" s="56"/>
      <c r="I84" s="68"/>
      <c r="J84" s="68"/>
      <c r="K84" s="68"/>
      <c r="L84" s="108"/>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row>
    <row r="85" spans="1:40" ht="14.4" customHeight="1" thickBot="1">
      <c r="A85" s="103" t="s">
        <v>44</v>
      </c>
      <c r="B85" s="104"/>
      <c r="C85" s="217">
        <f>SUM(C65:C84)</f>
        <v>13.470889999999997</v>
      </c>
      <c r="D85" s="217">
        <f>SUM(D65:D84)</f>
        <v>13.111017000000002</v>
      </c>
      <c r="E85" s="217">
        <f>SUM(E65:E84)</f>
        <v>13.649737000000002</v>
      </c>
      <c r="F85" s="217">
        <f>SUM(F65:F84)</f>
        <v>0</v>
      </c>
      <c r="G85" s="218"/>
      <c r="H85" s="111"/>
      <c r="I85" s="83"/>
      <c r="J85" s="83"/>
      <c r="K85" s="83"/>
      <c r="L85" s="112"/>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row>
    <row r="86" spans="1:40" ht="14.4" customHeight="1" thickBot="1">
      <c r="A86" s="99" t="s">
        <v>254</v>
      </c>
      <c r="B86" s="29"/>
      <c r="C86" s="321"/>
      <c r="D86" s="29"/>
      <c r="E86" s="29"/>
      <c r="F86" s="321"/>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row>
    <row r="87" spans="1:40" ht="14.4" customHeight="1">
      <c r="A87" s="105" t="s">
        <v>315</v>
      </c>
      <c r="B87" s="65"/>
      <c r="C87" s="75"/>
      <c r="D87" s="113"/>
      <c r="E87" s="114"/>
      <c r="F87" s="65"/>
      <c r="G87" s="65"/>
      <c r="H87" s="65"/>
      <c r="I87" s="65"/>
      <c r="J87" s="65"/>
      <c r="K87" s="65"/>
      <c r="L87" s="65"/>
      <c r="M87" s="65"/>
      <c r="N87" s="106"/>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row>
    <row r="88" spans="1:40" ht="14.4" customHeight="1">
      <c r="A88" s="107" t="s">
        <v>316</v>
      </c>
      <c r="B88" s="68"/>
      <c r="C88" s="68"/>
      <c r="D88" s="115"/>
      <c r="E88" s="115"/>
      <c r="F88" s="68"/>
      <c r="G88" s="68"/>
      <c r="H88" s="68"/>
      <c r="I88" s="68"/>
      <c r="J88" s="68"/>
      <c r="K88" s="68"/>
      <c r="L88" s="68"/>
      <c r="M88" s="68"/>
      <c r="N88" s="108"/>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row>
    <row r="89" spans="1:40" ht="14.4" customHeight="1">
      <c r="A89" s="116" t="s">
        <v>317</v>
      </c>
      <c r="B89" s="89"/>
      <c r="C89" s="89"/>
      <c r="D89" s="89"/>
      <c r="E89" s="89"/>
      <c r="F89" s="89"/>
      <c r="G89" s="89"/>
      <c r="H89" s="89"/>
      <c r="I89" s="89"/>
      <c r="J89" s="89"/>
      <c r="K89" s="89"/>
      <c r="L89" s="89"/>
      <c r="M89" s="89"/>
      <c r="N89" s="117"/>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row>
    <row r="90" spans="1:40" ht="14.4" customHeight="1">
      <c r="A90" s="124" t="s">
        <v>318</v>
      </c>
      <c r="B90" s="622" t="s">
        <v>360</v>
      </c>
      <c r="C90" s="623"/>
      <c r="D90" s="623"/>
      <c r="E90" s="624"/>
      <c r="F90" s="68"/>
      <c r="G90" s="68"/>
      <c r="H90" s="68"/>
      <c r="I90" s="68"/>
      <c r="J90" s="68"/>
      <c r="K90" s="68"/>
      <c r="L90" s="68"/>
      <c r="M90" s="68"/>
      <c r="N90" s="108"/>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row>
    <row r="91" spans="1:40" ht="14.4" customHeight="1">
      <c r="A91" s="124" t="s">
        <v>295</v>
      </c>
      <c r="B91" s="180">
        <v>23100</v>
      </c>
      <c r="C91" s="89"/>
      <c r="D91" s="89"/>
      <c r="E91" s="89"/>
      <c r="F91" s="68"/>
      <c r="G91" s="89"/>
      <c r="H91" s="89"/>
      <c r="I91" s="68"/>
      <c r="J91" s="68"/>
      <c r="K91" s="68"/>
      <c r="L91" s="68"/>
      <c r="M91" s="68"/>
      <c r="N91" s="108"/>
      <c r="O91" s="322"/>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row>
    <row r="92" spans="1:40" ht="14.4" customHeight="1">
      <c r="A92" s="120"/>
      <c r="B92" s="68"/>
      <c r="C92" s="121">
        <v>43100</v>
      </c>
      <c r="D92" s="121">
        <v>43465</v>
      </c>
      <c r="E92" s="121">
        <v>43830</v>
      </c>
      <c r="F92" s="68"/>
      <c r="G92" s="68"/>
      <c r="H92" s="56"/>
      <c r="I92" s="68"/>
      <c r="J92" s="118" t="s">
        <v>144</v>
      </c>
      <c r="K92" s="118" t="s">
        <v>144</v>
      </c>
      <c r="L92" s="118" t="s">
        <v>297</v>
      </c>
      <c r="M92" s="176" t="s">
        <v>146</v>
      </c>
      <c r="N92" s="119" t="s">
        <v>311</v>
      </c>
      <c r="O92" s="322"/>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row>
    <row r="93" spans="1:40" ht="14.4" customHeight="1">
      <c r="A93" s="124" t="s">
        <v>101</v>
      </c>
      <c r="B93" s="68"/>
      <c r="C93" s="219">
        <f>'Data Worksheet'!C67</f>
        <v>3.7058430000000002</v>
      </c>
      <c r="D93" s="219">
        <f>'Data Worksheet'!D67</f>
        <v>4.4228079999999999</v>
      </c>
      <c r="E93" s="219">
        <f>'Data Worksheet'!E67</f>
        <v>3.5</v>
      </c>
      <c r="F93" s="122"/>
      <c r="G93" s="68"/>
      <c r="H93" s="183" t="s">
        <v>120</v>
      </c>
      <c r="I93" s="68"/>
      <c r="J93" s="123" t="s">
        <v>367</v>
      </c>
      <c r="K93" s="118" t="s">
        <v>368</v>
      </c>
      <c r="L93" s="118" t="s">
        <v>361</v>
      </c>
      <c r="M93" s="176" t="s">
        <v>362</v>
      </c>
      <c r="N93" s="119" t="s">
        <v>362</v>
      </c>
      <c r="O93" s="322"/>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row>
    <row r="94" spans="1:40" ht="14.4" customHeight="1">
      <c r="A94" s="152" t="s">
        <v>348</v>
      </c>
      <c r="B94" s="68"/>
      <c r="C94" s="68"/>
      <c r="D94" s="68"/>
      <c r="E94" s="68"/>
      <c r="F94" s="308">
        <v>1</v>
      </c>
      <c r="G94" s="177" t="str">
        <f>IF(Bud_Calc=1,"Growth Calcs","Budget Amts")</f>
        <v>Growth Calcs</v>
      </c>
      <c r="H94" s="323" t="str">
        <f>'Data Worksheet'!A43</f>
        <v>Salaries/Add-Pays/Incentives</v>
      </c>
      <c r="I94" s="153"/>
      <c r="J94" s="219">
        <f>'Data Worksheet'!B43</f>
        <v>2.6431</v>
      </c>
      <c r="K94" s="219">
        <f>'Data Worksheet'!C43</f>
        <v>2.8574999999999999</v>
      </c>
      <c r="L94" s="219">
        <f>'Data Worksheet'!D43</f>
        <v>3.1640549999999998</v>
      </c>
      <c r="M94" s="220">
        <f>'Data Worksheet'!E43</f>
        <v>0</v>
      </c>
      <c r="N94" s="221">
        <f>IF(Salary_Growth_Option=0,L94*(1+H111),L94*(1+G134))</f>
        <v>3.2906171999999998</v>
      </c>
      <c r="O94" s="322"/>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row>
    <row r="95" spans="1:40" ht="14.4" customHeight="1">
      <c r="A95" s="88"/>
      <c r="B95" s="89"/>
      <c r="C95" s="89"/>
      <c r="D95" s="89"/>
      <c r="E95" s="89"/>
      <c r="F95" s="89"/>
      <c r="G95" s="89"/>
      <c r="H95" s="323" t="str">
        <f>'Data Worksheet'!A44</f>
        <v>Overtime/Part-time</v>
      </c>
      <c r="I95" s="68"/>
      <c r="J95" s="219">
        <f>'Data Worksheet'!B44</f>
        <v>0</v>
      </c>
      <c r="K95" s="219">
        <f>'Data Worksheet'!C44</f>
        <v>0</v>
      </c>
      <c r="L95" s="219">
        <f>'Data Worksheet'!D44</f>
        <v>0</v>
      </c>
      <c r="M95" s="220">
        <f>'Data Worksheet'!E44</f>
        <v>0</v>
      </c>
      <c r="N95" s="221">
        <f>L95*(1+H112)</f>
        <v>0</v>
      </c>
      <c r="O95" s="322"/>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row>
    <row r="96" spans="1:40" ht="14.4" customHeight="1">
      <c r="A96" s="125"/>
      <c r="B96" s="68"/>
      <c r="C96" s="118" t="s">
        <v>144</v>
      </c>
      <c r="D96" s="118" t="s">
        <v>144</v>
      </c>
      <c r="E96" s="118" t="s">
        <v>297</v>
      </c>
      <c r="F96" s="176" t="s">
        <v>146</v>
      </c>
      <c r="G96" s="126" t="s">
        <v>311</v>
      </c>
      <c r="H96" s="323" t="str">
        <f>'Data Worksheet'!A45</f>
        <v>Retirement</v>
      </c>
      <c r="I96" s="68"/>
      <c r="J96" s="219">
        <f>'Data Worksheet'!B45</f>
        <v>0</v>
      </c>
      <c r="K96" s="219">
        <f>'Data Worksheet'!C45</f>
        <v>0</v>
      </c>
      <c r="L96" s="219">
        <f>'Data Worksheet'!D45</f>
        <v>0</v>
      </c>
      <c r="M96" s="220">
        <f>'Data Worksheet'!E45</f>
        <v>0</v>
      </c>
      <c r="N96" s="221">
        <f>IF(Pension_Growth_Option=0,L96*(1+H113),N$94*Police_sworn*Dashboard!G138+N$94*Fire_sworn*Dashboard!G139+N$94*Misc_all_other*Dashboard!G140)</f>
        <v>0</v>
      </c>
      <c r="O96" s="322"/>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row>
    <row r="97" spans="1:40" ht="14.4" customHeight="1">
      <c r="A97" s="124" t="s">
        <v>121</v>
      </c>
      <c r="B97" s="68"/>
      <c r="C97" s="196" t="s">
        <v>367</v>
      </c>
      <c r="D97" s="197" t="s">
        <v>368</v>
      </c>
      <c r="E97" s="197" t="s">
        <v>361</v>
      </c>
      <c r="F97" s="176" t="s">
        <v>362</v>
      </c>
      <c r="G97" s="118" t="s">
        <v>143</v>
      </c>
      <c r="H97" s="323" t="str">
        <f>'Data Worksheet'!A46</f>
        <v>Health</v>
      </c>
      <c r="I97" s="68"/>
      <c r="J97" s="219">
        <f>'Data Worksheet'!B46</f>
        <v>0</v>
      </c>
      <c r="K97" s="219">
        <f>'Data Worksheet'!C46</f>
        <v>0</v>
      </c>
      <c r="L97" s="219">
        <f>'Data Worksheet'!D46</f>
        <v>0</v>
      </c>
      <c r="M97" s="220">
        <f>'Data Worksheet'!E46</f>
        <v>0</v>
      </c>
      <c r="N97" s="221">
        <f>L97*(1+H114)</f>
        <v>0</v>
      </c>
      <c r="O97" s="322"/>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row>
    <row r="98" spans="1:40" ht="14.4" customHeight="1">
      <c r="A98" s="324" t="str">
        <f>'Data Worksheet'!A32</f>
        <v>Administration/Support</v>
      </c>
      <c r="B98" s="68"/>
      <c r="C98" s="219">
        <f>'Data Worksheet'!B32</f>
        <v>3.2912437000000008</v>
      </c>
      <c r="D98" s="219">
        <f>'Data Worksheet'!C32</f>
        <v>3.3641690300000007</v>
      </c>
      <c r="E98" s="219">
        <f>'Data Worksheet'!D32</f>
        <v>3.52703648</v>
      </c>
      <c r="F98" s="231">
        <f>'Data Worksheet'!E32</f>
        <v>0</v>
      </c>
      <c r="G98" s="214">
        <f>(N$100+N$102)*E98/SUM(E$98:E$104)</f>
        <v>2.3433387605756768</v>
      </c>
      <c r="H98" s="323" t="str">
        <f>'Data Worksheet'!A47</f>
        <v>Other Benefits</v>
      </c>
      <c r="I98" s="68"/>
      <c r="J98" s="219">
        <f>'Data Worksheet'!B47</f>
        <v>0.98418181999999998</v>
      </c>
      <c r="K98" s="219">
        <f>'Data Worksheet'!C47</f>
        <v>1.0981462999999998</v>
      </c>
      <c r="L98" s="219">
        <f>'Data Worksheet'!D47</f>
        <v>1.12180686</v>
      </c>
      <c r="M98" s="220">
        <f>'Data Worksheet'!E47</f>
        <v>0</v>
      </c>
      <c r="N98" s="221">
        <f>L98*(1+H115)</f>
        <v>1.1891152716</v>
      </c>
      <c r="O98" s="322"/>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row>
    <row r="99" spans="1:40" ht="14.4" customHeight="1">
      <c r="A99" s="324" t="str">
        <f>'Data Worksheet'!A33</f>
        <v>Police</v>
      </c>
      <c r="B99" s="68"/>
      <c r="C99" s="219">
        <f>'Data Worksheet'!B33</f>
        <v>4.2849117899999998</v>
      </c>
      <c r="D99" s="219">
        <f>'Data Worksheet'!C33</f>
        <v>4.2820652499999996</v>
      </c>
      <c r="E99" s="219">
        <f>'Data Worksheet'!D33</f>
        <v>4.6414160000000004</v>
      </c>
      <c r="F99" s="231">
        <f>'Data Worksheet'!E33</f>
        <v>0</v>
      </c>
      <c r="G99" s="214">
        <f>(N$100+N$102)*E99/SUM(E$98:E$104)</f>
        <v>3.0837248433438704</v>
      </c>
      <c r="H99" s="323" t="str">
        <f>'Data Worksheet'!A48</f>
        <v>Expense Credits/Savings</v>
      </c>
      <c r="I99" s="68"/>
      <c r="J99" s="219">
        <f>'Data Worksheet'!B48</f>
        <v>0</v>
      </c>
      <c r="K99" s="219">
        <f>'Data Worksheet'!C48</f>
        <v>0</v>
      </c>
      <c r="L99" s="219">
        <f>'Data Worksheet'!D48</f>
        <v>0</v>
      </c>
      <c r="M99" s="220">
        <f>'Data Worksheet'!E48</f>
        <v>0</v>
      </c>
      <c r="N99" s="221">
        <f>L99*(1+H116)</f>
        <v>0</v>
      </c>
      <c r="O99" s="322"/>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row>
    <row r="100" spans="1:40" ht="14.4" customHeight="1">
      <c r="A100" s="324" t="str">
        <f>'Data Worksheet'!A34</f>
        <v>Fire</v>
      </c>
      <c r="B100" s="68"/>
      <c r="C100" s="219">
        <f>'Data Worksheet'!B34</f>
        <v>0</v>
      </c>
      <c r="D100" s="219">
        <f>'Data Worksheet'!C34</f>
        <v>0</v>
      </c>
      <c r="E100" s="219">
        <f>'Data Worksheet'!D34</f>
        <v>0</v>
      </c>
      <c r="F100" s="231">
        <f>'Data Worksheet'!E34</f>
        <v>0</v>
      </c>
      <c r="G100" s="214">
        <f>(N$100+N$102)*E100/SUM(E$98:E$104)</f>
        <v>0</v>
      </c>
      <c r="H100" s="323" t="str">
        <f>'Data Worksheet'!A49</f>
        <v xml:space="preserve">   Total Personnel</v>
      </c>
      <c r="I100" s="68"/>
      <c r="J100" s="222">
        <f>SUM(J94:J99)</f>
        <v>3.6272818199999999</v>
      </c>
      <c r="K100" s="222">
        <f t="shared" ref="K100:L100" si="19">SUM(K94:K99)</f>
        <v>3.9556462999999997</v>
      </c>
      <c r="L100" s="222">
        <f t="shared" si="19"/>
        <v>4.2858618599999998</v>
      </c>
      <c r="M100" s="223">
        <f t="shared" ref="M100:N100" si="20">SUM(M94:M99)</f>
        <v>0</v>
      </c>
      <c r="N100" s="224">
        <f t="shared" si="20"/>
        <v>4.4797324716000002</v>
      </c>
      <c r="O100" s="322"/>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row>
    <row r="101" spans="1:40" ht="14.4" customHeight="1">
      <c r="A101" s="324"/>
      <c r="B101" s="68"/>
      <c r="C101" s="219"/>
      <c r="D101" s="219"/>
      <c r="E101" s="219"/>
      <c r="F101" s="231"/>
      <c r="G101" s="214"/>
      <c r="H101" s="323" t="str">
        <f>'Data Worksheet'!A50</f>
        <v>Contracted Police Services</v>
      </c>
      <c r="I101" s="68"/>
      <c r="J101" s="219">
        <f>'Data Worksheet'!B50</f>
        <v>3.4321630000000001</v>
      </c>
      <c r="K101" s="219">
        <f>'Data Worksheet'!C50</f>
        <v>3.4724590000000002</v>
      </c>
      <c r="L101" s="219">
        <f>'Data Worksheet'!D50</f>
        <v>3.78268</v>
      </c>
      <c r="M101" s="220">
        <f>'Data Worksheet'!E50</f>
        <v>0</v>
      </c>
      <c r="N101" s="221">
        <f>L101*(1+H117)</f>
        <v>3.9339872000000002</v>
      </c>
      <c r="O101" s="322"/>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row>
    <row r="102" spans="1:40" ht="14.4" customHeight="1">
      <c r="A102" s="324" t="str">
        <f>'Data Worksheet'!A35</f>
        <v>Parks/Rec/Culture/Leisure</v>
      </c>
      <c r="B102" s="68"/>
      <c r="C102" s="219">
        <f>'Data Worksheet'!B35</f>
        <v>1.2008674000000001</v>
      </c>
      <c r="D102" s="219">
        <f>'Data Worksheet'!C35</f>
        <v>1.7229991899999999</v>
      </c>
      <c r="E102" s="219">
        <f>'Data Worksheet'!D35</f>
        <v>2.0493454299999998</v>
      </c>
      <c r="F102" s="231">
        <f>'Data Worksheet'!E35</f>
        <v>0</v>
      </c>
      <c r="G102" s="214">
        <f>(N$100+N$102)*E102/SUM(E$98:E$104)</f>
        <v>1.3615709979636013</v>
      </c>
      <c r="H102" s="323" t="str">
        <f>'Data Worksheet'!A51</f>
        <v>Non-Personnel Operations</v>
      </c>
      <c r="I102" s="68"/>
      <c r="J102" s="219">
        <f>'Data Worksheet'!B51</f>
        <v>4.5306109999999995</v>
      </c>
      <c r="K102" s="219">
        <f>'Data Worksheet'!C51</f>
        <v>3.9821139999999997</v>
      </c>
      <c r="L102" s="219">
        <f>'Data Worksheet'!D51</f>
        <v>3.9458659999999997</v>
      </c>
      <c r="M102" s="220">
        <f>'Data Worksheet'!E51</f>
        <v>0</v>
      </c>
      <c r="N102" s="221">
        <f>L102*(1+H118)</f>
        <v>4.0642419799999994</v>
      </c>
      <c r="O102" s="322"/>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row>
    <row r="103" spans="1:40" ht="14.4" customHeight="1">
      <c r="A103" s="324" t="str">
        <f>'Data Worksheet'!A36</f>
        <v>Community Development</v>
      </c>
      <c r="B103" s="68"/>
      <c r="C103" s="219">
        <f>'Data Worksheet'!B36</f>
        <v>2.1302860499999996</v>
      </c>
      <c r="D103" s="219">
        <f>'Data Worksheet'!C36</f>
        <v>2.00833627</v>
      </c>
      <c r="E103" s="219">
        <f>'Data Worksheet'!D36</f>
        <v>1.8310846500000002</v>
      </c>
      <c r="F103" s="231">
        <f>'Data Worksheet'!E36</f>
        <v>0</v>
      </c>
      <c r="G103" s="214">
        <f>(N$100+N$102)*E103/SUM(E$98:E$104)</f>
        <v>1.2165600380294754</v>
      </c>
      <c r="H103" s="323" t="str">
        <f>'Data Worksheet'!A52</f>
        <v>Debt Service/Tfrs-Debt Svc</v>
      </c>
      <c r="I103" s="68"/>
      <c r="J103" s="219">
        <f>'Data Worksheet'!B52</f>
        <v>0</v>
      </c>
      <c r="K103" s="219">
        <f>'Data Worksheet'!C52</f>
        <v>0</v>
      </c>
      <c r="L103" s="219">
        <f>'Data Worksheet'!D52</f>
        <v>0</v>
      </c>
      <c r="M103" s="220">
        <f>'Data Worksheet'!E52</f>
        <v>0</v>
      </c>
      <c r="N103" s="221">
        <f>M103</f>
        <v>0</v>
      </c>
      <c r="O103" s="71" t="s">
        <v>190</v>
      </c>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row>
    <row r="104" spans="1:40" ht="14.4" customHeight="1">
      <c r="A104" s="324" t="str">
        <f>'Data Worksheet'!A37</f>
        <v>Public Works</v>
      </c>
      <c r="B104" s="68"/>
      <c r="C104" s="219">
        <f>'Data Worksheet'!B37</f>
        <v>0.78608794999999987</v>
      </c>
      <c r="D104" s="219">
        <f>'Data Worksheet'!C37</f>
        <v>0.67372556000000017</v>
      </c>
      <c r="E104" s="219">
        <f>'Data Worksheet'!D37</f>
        <v>0.81093526999999999</v>
      </c>
      <c r="F104" s="231">
        <f>'Data Worksheet'!E37</f>
        <v>0</v>
      </c>
      <c r="G104" s="214">
        <f>(N$100+N$102)*E104/SUM(E$98:E$104)</f>
        <v>0.53877981168737499</v>
      </c>
      <c r="H104" s="323" t="str">
        <f>'Data Worksheet'!A53</f>
        <v>Capital/Tfrs to Cap Projs</v>
      </c>
      <c r="I104" s="68"/>
      <c r="J104" s="219">
        <f>'Data Worksheet'!B53</f>
        <v>0.65152699999999997</v>
      </c>
      <c r="K104" s="219">
        <f>'Data Worksheet'!C53</f>
        <v>2.623605</v>
      </c>
      <c r="L104" s="219">
        <f>'Data Worksheet'!D53</f>
        <v>1.5959970000000001</v>
      </c>
      <c r="M104" s="220">
        <f>'Data Worksheet'!E53</f>
        <v>0</v>
      </c>
      <c r="N104" s="221">
        <f>M104</f>
        <v>0</v>
      </c>
      <c r="O104" s="71" t="s">
        <v>190</v>
      </c>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row>
    <row r="105" spans="1:40" ht="14.4" customHeight="1">
      <c r="A105" s="324" t="str">
        <f>'Data Worksheet'!A38</f>
        <v>Non-Departmental</v>
      </c>
      <c r="B105" s="68"/>
      <c r="C105" s="219">
        <f>'Data Worksheet'!B38</f>
        <v>0.54818593000000004</v>
      </c>
      <c r="D105" s="219">
        <f>'Data Worksheet'!C38</f>
        <v>1.982529</v>
      </c>
      <c r="E105" s="219">
        <f>'Data Worksheet'!D38</f>
        <v>0.75058703000000004</v>
      </c>
      <c r="F105" s="231">
        <f>'Data Worksheet'!E38</f>
        <v>0</v>
      </c>
      <c r="G105" s="214">
        <f>N105+N104+N103</f>
        <v>0</v>
      </c>
      <c r="H105" s="323" t="str">
        <f>'Data Worksheet'!A54</f>
        <v>Transfers Out to Other Funds</v>
      </c>
      <c r="I105" s="68"/>
      <c r="J105" s="219">
        <f>'Data Worksheet'!B54</f>
        <v>0</v>
      </c>
      <c r="K105" s="219">
        <f>'Data Worksheet'!C54</f>
        <v>0</v>
      </c>
      <c r="L105" s="219">
        <f>'Data Worksheet'!D54</f>
        <v>0</v>
      </c>
      <c r="M105" s="220">
        <f>'Data Worksheet'!E54</f>
        <v>0</v>
      </c>
      <c r="N105" s="221">
        <f>IF(Other_Transfers_Growth_Option=0,L105*(1+H121),G169)</f>
        <v>0</v>
      </c>
      <c r="O105" s="71" t="s">
        <v>190</v>
      </c>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row>
    <row r="106" spans="1:40" ht="14.4" customHeight="1">
      <c r="A106" s="125" t="s">
        <v>100</v>
      </c>
      <c r="B106" s="68"/>
      <c r="C106" s="225">
        <f>SUM(C98:C105)</f>
        <v>12.241582820000001</v>
      </c>
      <c r="D106" s="225">
        <f>SUM(D98:D105)</f>
        <v>14.033824299999997</v>
      </c>
      <c r="E106" s="225">
        <f>SUM(E98:E105)</f>
        <v>13.610404860000003</v>
      </c>
      <c r="F106" s="226">
        <f>SUM(F98:F105)</f>
        <v>0</v>
      </c>
      <c r="G106" s="225">
        <f>SUM(G98:G105)</f>
        <v>8.5439744515999987</v>
      </c>
      <c r="H106" s="323" t="str">
        <f>'Data Worksheet'!A55</f>
        <v xml:space="preserve">   Total Expenditures by Type</v>
      </c>
      <c r="I106" s="127"/>
      <c r="J106" s="225">
        <f>SUM(J100:J105)</f>
        <v>12.24158282</v>
      </c>
      <c r="K106" s="225">
        <f>SUM(K100:K105)</f>
        <v>14.033824299999999</v>
      </c>
      <c r="L106" s="225">
        <f>SUM(L100:L105)</f>
        <v>13.610404859999999</v>
      </c>
      <c r="M106" s="226">
        <f>SUM(M100:M105)</f>
        <v>0</v>
      </c>
      <c r="N106" s="227">
        <f>SUM(N100:N105)</f>
        <v>12.477961651600001</v>
      </c>
      <c r="O106" s="322"/>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row>
    <row r="107" spans="1:40" ht="14.4" customHeight="1" thickBot="1">
      <c r="A107" s="92"/>
      <c r="B107" s="93"/>
      <c r="C107" s="93"/>
      <c r="D107" s="93"/>
      <c r="E107" s="182"/>
      <c r="F107" s="93"/>
      <c r="G107" s="93"/>
      <c r="H107" s="92"/>
      <c r="I107" s="93"/>
      <c r="J107" s="228" t="str">
        <f>IF(J106&lt;&gt;C106,"Unequal","Equal")</f>
        <v>Equal</v>
      </c>
      <c r="K107" s="228" t="str">
        <f>IF(K106&lt;&gt;D106,"Unequal","Equal")</f>
        <v>Equal</v>
      </c>
      <c r="L107" s="228" t="str">
        <f>IF(L106&lt;&gt;E106,"Unequal","Equal")</f>
        <v>Equal</v>
      </c>
      <c r="M107" s="229" t="str">
        <f>IF(M106&lt;&gt;F106,"Unequal","Equal")</f>
        <v>Equal</v>
      </c>
      <c r="N107" s="230" t="str">
        <f>IF(N106&lt;&gt;G106,"Unequal","Equal")</f>
        <v>Unequal</v>
      </c>
      <c r="O107" s="322"/>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row>
    <row r="108" spans="1:40" ht="14.4" customHeight="1" thickBot="1">
      <c r="A108" s="99" t="s">
        <v>313</v>
      </c>
      <c r="B108" s="100"/>
      <c r="C108" s="141"/>
      <c r="D108" s="64"/>
      <c r="E108" s="325"/>
      <c r="F108" s="99" t="s">
        <v>312</v>
      </c>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row>
    <row r="109" spans="1:40" ht="14.4" customHeight="1">
      <c r="A109" s="128"/>
      <c r="B109" s="129"/>
      <c r="C109" s="75"/>
      <c r="D109" s="178"/>
      <c r="E109" s="326"/>
      <c r="F109" s="179"/>
      <c r="G109" s="75"/>
      <c r="H109" s="620" t="s">
        <v>142</v>
      </c>
      <c r="I109" s="620"/>
      <c r="J109" s="620"/>
      <c r="K109" s="620"/>
      <c r="L109" s="620"/>
      <c r="M109" s="620"/>
      <c r="N109" s="621"/>
      <c r="O109" s="29"/>
      <c r="P109" s="29"/>
      <c r="Q109" s="29"/>
      <c r="R109" s="29"/>
      <c r="S109" s="29"/>
      <c r="T109" s="29"/>
      <c r="U109" s="29"/>
      <c r="V109" s="29"/>
      <c r="W109" s="29"/>
      <c r="X109" s="327"/>
      <c r="Y109" s="327"/>
      <c r="Z109" s="327"/>
      <c r="AA109" s="327"/>
      <c r="AB109" s="327"/>
      <c r="AC109" s="327"/>
      <c r="AD109" s="327"/>
      <c r="AE109" s="327"/>
      <c r="AF109" s="327"/>
      <c r="AG109" s="327"/>
      <c r="AH109" s="29"/>
      <c r="AI109" s="29"/>
      <c r="AJ109" s="29"/>
      <c r="AK109" s="29"/>
      <c r="AL109" s="29"/>
      <c r="AM109" s="29"/>
      <c r="AN109" s="29"/>
    </row>
    <row r="110" spans="1:40" ht="14.4" customHeight="1">
      <c r="A110" s="130" t="s">
        <v>249</v>
      </c>
      <c r="B110" s="131"/>
      <c r="C110" s="135" t="s">
        <v>250</v>
      </c>
      <c r="D110" s="117"/>
      <c r="E110" s="326"/>
      <c r="F110" s="136" t="s">
        <v>103</v>
      </c>
      <c r="G110" s="139"/>
      <c r="H110" s="137" t="s">
        <v>362</v>
      </c>
      <c r="I110" s="137" t="s">
        <v>363</v>
      </c>
      <c r="J110" s="137" t="s">
        <v>364</v>
      </c>
      <c r="K110" s="137" t="s">
        <v>365</v>
      </c>
      <c r="L110" s="137" t="s">
        <v>366</v>
      </c>
      <c r="M110" s="137" t="s">
        <v>370</v>
      </c>
      <c r="N110" s="552" t="s">
        <v>371</v>
      </c>
      <c r="O110" s="29"/>
      <c r="P110" s="29"/>
      <c r="Q110" s="29"/>
      <c r="R110" s="29"/>
      <c r="S110" s="29"/>
      <c r="T110" s="29"/>
      <c r="U110" s="29"/>
      <c r="V110" s="29"/>
      <c r="W110" s="29"/>
      <c r="X110" s="327"/>
      <c r="Y110" s="327"/>
      <c r="Z110" s="327"/>
      <c r="AA110" s="327"/>
      <c r="AB110" s="327"/>
      <c r="AC110" s="327"/>
      <c r="AD110" s="327"/>
      <c r="AE110" s="327"/>
      <c r="AF110" s="327"/>
      <c r="AG110" s="327"/>
      <c r="AH110" s="29"/>
      <c r="AI110" s="29"/>
      <c r="AJ110" s="29"/>
      <c r="AK110" s="29"/>
      <c r="AL110" s="29"/>
      <c r="AM110" s="29"/>
      <c r="AN110" s="29"/>
    </row>
    <row r="111" spans="1:40" ht="14.4" customHeight="1">
      <c r="A111" s="618" t="s">
        <v>248</v>
      </c>
      <c r="B111" s="619"/>
      <c r="C111" s="308">
        <v>0</v>
      </c>
      <c r="D111" s="232" t="str">
        <f>IF(C111=0,"Growth %","% by Group")</f>
        <v>Growth %</v>
      </c>
      <c r="E111" s="326"/>
      <c r="F111" s="138" t="str">
        <f>'Data Worksheet'!A43</f>
        <v>Salaries/Add-Pays/Incentives</v>
      </c>
      <c r="G111" s="122"/>
      <c r="H111" s="17">
        <v>0.04</v>
      </c>
      <c r="I111" s="17">
        <v>0.04</v>
      </c>
      <c r="J111" s="17">
        <v>0.04</v>
      </c>
      <c r="K111" s="17">
        <v>0.04</v>
      </c>
      <c r="L111" s="17">
        <v>0.04</v>
      </c>
      <c r="M111" s="17">
        <v>0.04</v>
      </c>
      <c r="N111" s="18">
        <v>0.04</v>
      </c>
      <c r="O111" s="29"/>
      <c r="P111" s="29"/>
      <c r="Q111" s="29"/>
      <c r="R111" s="29"/>
      <c r="S111" s="29"/>
      <c r="T111" s="29"/>
      <c r="U111" s="29"/>
      <c r="V111" s="29"/>
      <c r="W111" s="29"/>
      <c r="X111" s="327"/>
      <c r="Y111" s="327"/>
      <c r="Z111" s="327"/>
      <c r="AA111" s="327"/>
      <c r="AB111" s="327"/>
      <c r="AC111" s="327"/>
      <c r="AD111" s="327"/>
      <c r="AE111" s="327"/>
      <c r="AF111" s="327"/>
      <c r="AG111" s="327"/>
      <c r="AH111" s="29"/>
      <c r="AI111" s="29"/>
      <c r="AJ111" s="29"/>
      <c r="AK111" s="29"/>
      <c r="AL111" s="29"/>
      <c r="AM111" s="29"/>
      <c r="AN111" s="29"/>
    </row>
    <row r="112" spans="1:40" ht="14.4" customHeight="1">
      <c r="A112" s="132"/>
      <c r="B112" s="133"/>
      <c r="C112" s="133"/>
      <c r="D112" s="233"/>
      <c r="E112" s="326"/>
      <c r="F112" s="138" t="str">
        <f>'Data Worksheet'!A44</f>
        <v>Overtime/Part-time</v>
      </c>
      <c r="G112" s="122"/>
      <c r="H112" s="17">
        <v>0</v>
      </c>
      <c r="I112" s="17">
        <v>0</v>
      </c>
      <c r="J112" s="17">
        <v>0</v>
      </c>
      <c r="K112" s="17">
        <v>0</v>
      </c>
      <c r="L112" s="17">
        <v>0</v>
      </c>
      <c r="M112" s="17">
        <v>0</v>
      </c>
      <c r="N112" s="17">
        <v>0</v>
      </c>
      <c r="O112" s="29"/>
      <c r="P112" s="29"/>
      <c r="Q112" s="29"/>
      <c r="R112" s="29"/>
      <c r="S112" s="29"/>
      <c r="T112" s="29"/>
      <c r="U112" s="29"/>
      <c r="V112" s="29"/>
      <c r="W112" s="29"/>
      <c r="X112" s="327"/>
      <c r="Y112" s="327"/>
      <c r="Z112" s="327"/>
      <c r="AA112" s="327"/>
      <c r="AB112" s="327"/>
      <c r="AC112" s="327"/>
      <c r="AD112" s="327"/>
      <c r="AE112" s="327"/>
      <c r="AF112" s="327"/>
      <c r="AG112" s="327"/>
      <c r="AH112" s="29"/>
      <c r="AI112" s="29"/>
      <c r="AJ112" s="29"/>
      <c r="AK112" s="29"/>
      <c r="AL112" s="29"/>
      <c r="AM112" s="29"/>
      <c r="AN112" s="29"/>
    </row>
    <row r="113" spans="1:40" ht="14.4" customHeight="1">
      <c r="A113" s="618" t="s">
        <v>13</v>
      </c>
      <c r="B113" s="619"/>
      <c r="C113" s="308">
        <v>0</v>
      </c>
      <c r="D113" s="232" t="str">
        <f>IF(C113=0,"Growth %","% of Payroll")</f>
        <v>Growth %</v>
      </c>
      <c r="E113" s="326"/>
      <c r="F113" s="138" t="str">
        <f>'Data Worksheet'!A45</f>
        <v>Retirement</v>
      </c>
      <c r="G113" s="122"/>
      <c r="H113" s="17">
        <v>0</v>
      </c>
      <c r="I113" s="17">
        <v>0</v>
      </c>
      <c r="J113" s="17">
        <v>0</v>
      </c>
      <c r="K113" s="17">
        <v>0</v>
      </c>
      <c r="L113" s="17">
        <v>0</v>
      </c>
      <c r="M113" s="17">
        <v>0</v>
      </c>
      <c r="N113" s="17">
        <v>0</v>
      </c>
      <c r="O113" s="29"/>
      <c r="P113" s="29"/>
      <c r="Q113" s="29"/>
      <c r="R113" s="29"/>
      <c r="S113" s="29"/>
      <c r="T113" s="29"/>
      <c r="U113" s="29"/>
      <c r="V113" s="29"/>
      <c r="W113" s="29"/>
      <c r="X113" s="327"/>
      <c r="Y113" s="327"/>
      <c r="Z113" s="327"/>
      <c r="AA113" s="327"/>
      <c r="AB113" s="327"/>
      <c r="AC113" s="327"/>
      <c r="AD113" s="327"/>
      <c r="AE113" s="327"/>
      <c r="AF113" s="327"/>
      <c r="AG113" s="327"/>
      <c r="AH113" s="29"/>
      <c r="AI113" s="29"/>
      <c r="AJ113" s="29"/>
      <c r="AK113" s="29"/>
      <c r="AL113" s="29"/>
      <c r="AM113" s="29"/>
      <c r="AN113" s="29"/>
    </row>
    <row r="114" spans="1:40" ht="14.4" customHeight="1">
      <c r="A114" s="132"/>
      <c r="B114" s="134"/>
      <c r="C114" s="150"/>
      <c r="D114" s="233"/>
      <c r="E114" s="326"/>
      <c r="F114" s="138" t="str">
        <f>'Data Worksheet'!A46</f>
        <v>Health</v>
      </c>
      <c r="G114" s="122"/>
      <c r="H114" s="17">
        <v>0</v>
      </c>
      <c r="I114" s="17">
        <v>0</v>
      </c>
      <c r="J114" s="17">
        <v>0</v>
      </c>
      <c r="K114" s="17">
        <v>0</v>
      </c>
      <c r="L114" s="17">
        <v>0</v>
      </c>
      <c r="M114" s="17">
        <v>0</v>
      </c>
      <c r="N114" s="17">
        <v>0</v>
      </c>
      <c r="O114" s="29"/>
      <c r="P114" s="29"/>
      <c r="Q114" s="29"/>
      <c r="R114" s="29"/>
      <c r="S114" s="29"/>
      <c r="T114" s="29"/>
      <c r="U114" s="29"/>
      <c r="V114" s="29"/>
      <c r="W114" s="29"/>
      <c r="X114" s="327"/>
      <c r="Y114" s="327"/>
      <c r="Z114" s="327"/>
      <c r="AA114" s="327"/>
      <c r="AB114" s="327"/>
      <c r="AC114" s="327"/>
      <c r="AD114" s="327"/>
      <c r="AE114" s="327"/>
      <c r="AF114" s="327"/>
      <c r="AG114" s="327"/>
      <c r="AH114" s="29"/>
      <c r="AI114" s="29"/>
      <c r="AJ114" s="29"/>
      <c r="AK114" s="29"/>
      <c r="AL114" s="29"/>
      <c r="AM114" s="29"/>
      <c r="AN114" s="29"/>
    </row>
    <row r="115" spans="1:40" ht="14.4" customHeight="1">
      <c r="A115" s="132"/>
      <c r="B115" s="134"/>
      <c r="C115" s="150"/>
      <c r="D115" s="233"/>
      <c r="E115" s="326"/>
      <c r="F115" s="138" t="str">
        <f>'Data Worksheet'!A47</f>
        <v>Other Benefits</v>
      </c>
      <c r="G115" s="122"/>
      <c r="H115" s="17">
        <v>0.06</v>
      </c>
      <c r="I115" s="17">
        <v>0.06</v>
      </c>
      <c r="J115" s="17">
        <v>0.06</v>
      </c>
      <c r="K115" s="17">
        <v>0.06</v>
      </c>
      <c r="L115" s="17">
        <v>0.06</v>
      </c>
      <c r="M115" s="17">
        <v>0.06</v>
      </c>
      <c r="N115" s="18">
        <v>0.06</v>
      </c>
      <c r="O115" s="29"/>
      <c r="P115" s="29"/>
      <c r="Q115" s="29"/>
      <c r="R115" s="29"/>
      <c r="S115" s="29"/>
      <c r="T115" s="29"/>
      <c r="U115" s="29"/>
      <c r="V115" s="29"/>
      <c r="W115" s="29"/>
      <c r="X115" s="327"/>
      <c r="Y115" s="327"/>
      <c r="Z115" s="327"/>
      <c r="AA115" s="327"/>
      <c r="AB115" s="327"/>
      <c r="AC115" s="327"/>
      <c r="AD115" s="327"/>
      <c r="AE115" s="327"/>
      <c r="AF115" s="327"/>
      <c r="AG115" s="327"/>
      <c r="AH115" s="29"/>
      <c r="AI115" s="29"/>
      <c r="AJ115" s="29"/>
      <c r="AK115" s="29"/>
      <c r="AL115" s="29"/>
      <c r="AM115" s="29"/>
      <c r="AN115" s="29"/>
    </row>
    <row r="116" spans="1:40" ht="14.4" customHeight="1">
      <c r="A116" s="618" t="s">
        <v>405</v>
      </c>
      <c r="B116" s="619"/>
      <c r="C116" s="17">
        <v>0.01</v>
      </c>
      <c r="D116" s="232" t="s">
        <v>406</v>
      </c>
      <c r="E116" s="326"/>
      <c r="F116" s="138" t="str">
        <f>'Data Worksheet'!A48</f>
        <v>Expense Credits/Savings</v>
      </c>
      <c r="G116" s="122"/>
      <c r="H116" s="17">
        <v>0</v>
      </c>
      <c r="I116" s="17">
        <v>0</v>
      </c>
      <c r="J116" s="17">
        <v>0</v>
      </c>
      <c r="K116" s="17">
        <v>0</v>
      </c>
      <c r="L116" s="17">
        <v>0</v>
      </c>
      <c r="M116" s="17">
        <v>0</v>
      </c>
      <c r="N116" s="18">
        <v>0</v>
      </c>
      <c r="O116" s="29"/>
      <c r="P116" s="29"/>
      <c r="Q116" s="29"/>
      <c r="R116" s="29"/>
      <c r="S116" s="29"/>
      <c r="T116" s="29"/>
      <c r="U116" s="29"/>
      <c r="V116" s="29"/>
      <c r="W116" s="29"/>
      <c r="X116" s="327"/>
      <c r="Y116" s="327"/>
      <c r="Z116" s="327"/>
      <c r="AA116" s="327"/>
      <c r="AB116" s="327"/>
      <c r="AC116" s="327"/>
      <c r="AD116" s="327"/>
      <c r="AE116" s="327"/>
      <c r="AF116" s="327"/>
      <c r="AG116" s="327"/>
      <c r="AH116" s="29"/>
      <c r="AI116" s="29"/>
      <c r="AJ116" s="29"/>
      <c r="AK116" s="29"/>
      <c r="AL116" s="29"/>
      <c r="AM116" s="29"/>
      <c r="AN116" s="29"/>
    </row>
    <row r="117" spans="1:40" ht="14.4" customHeight="1">
      <c r="A117" s="132"/>
      <c r="B117" s="134"/>
      <c r="C117" s="150"/>
      <c r="D117" s="234"/>
      <c r="E117" s="326"/>
      <c r="F117" s="130" t="s">
        <v>396</v>
      </c>
      <c r="G117" s="139"/>
      <c r="H117" s="17">
        <v>0.04</v>
      </c>
      <c r="I117" s="17">
        <v>0.04</v>
      </c>
      <c r="J117" s="17">
        <v>0.04</v>
      </c>
      <c r="K117" s="17">
        <v>0.04</v>
      </c>
      <c r="L117" s="17">
        <v>0.04</v>
      </c>
      <c r="M117" s="17">
        <v>0.04</v>
      </c>
      <c r="N117" s="18">
        <v>0.04</v>
      </c>
      <c r="O117" s="29"/>
      <c r="P117" s="29"/>
      <c r="Q117" s="29"/>
      <c r="R117" s="29"/>
      <c r="S117" s="29"/>
      <c r="T117" s="29"/>
      <c r="U117" s="29"/>
      <c r="V117" s="29"/>
      <c r="W117" s="29"/>
      <c r="X117" s="327"/>
      <c r="Y117" s="327"/>
      <c r="Z117" s="327"/>
      <c r="AA117" s="327"/>
      <c r="AB117" s="327"/>
      <c r="AC117" s="327"/>
      <c r="AD117" s="327"/>
      <c r="AE117" s="327"/>
      <c r="AF117" s="327"/>
      <c r="AG117" s="327"/>
      <c r="AH117" s="29"/>
      <c r="AI117" s="29"/>
      <c r="AJ117" s="29"/>
      <c r="AK117" s="29"/>
      <c r="AL117" s="29"/>
      <c r="AM117" s="29"/>
      <c r="AN117" s="29"/>
    </row>
    <row r="118" spans="1:40" ht="14.4" customHeight="1">
      <c r="A118" s="611" t="s">
        <v>251</v>
      </c>
      <c r="B118" s="612"/>
      <c r="C118" s="308">
        <v>1</v>
      </c>
      <c r="D118" s="232" t="str">
        <f>IF(C118=0,"Growth %","$ by item")</f>
        <v>$ by item</v>
      </c>
      <c r="E118" s="326"/>
      <c r="F118" s="138" t="str">
        <f>'Data Worksheet'!A51</f>
        <v>Non-Personnel Operations</v>
      </c>
      <c r="G118" s="122"/>
      <c r="H118" s="17">
        <v>0.03</v>
      </c>
      <c r="I118" s="17">
        <v>0.03</v>
      </c>
      <c r="J118" s="17">
        <f>+I118</f>
        <v>0.03</v>
      </c>
      <c r="K118" s="17">
        <f t="shared" ref="K118:N118" si="21">+J118</f>
        <v>0.03</v>
      </c>
      <c r="L118" s="17">
        <f t="shared" si="21"/>
        <v>0.03</v>
      </c>
      <c r="M118" s="17">
        <f t="shared" si="21"/>
        <v>0.03</v>
      </c>
      <c r="N118" s="18">
        <f t="shared" si="21"/>
        <v>0.03</v>
      </c>
      <c r="O118" s="29"/>
      <c r="P118" s="29"/>
      <c r="Q118" s="29"/>
      <c r="R118" s="29"/>
      <c r="S118" s="29"/>
      <c r="T118" s="29"/>
      <c r="U118" s="29"/>
      <c r="V118" s="29"/>
      <c r="W118" s="29"/>
      <c r="X118" s="327"/>
      <c r="Y118" s="327"/>
      <c r="Z118" s="327"/>
      <c r="AA118" s="327"/>
      <c r="AB118" s="327"/>
      <c r="AC118" s="327"/>
      <c r="AD118" s="327"/>
      <c r="AE118" s="327"/>
      <c r="AF118" s="327"/>
      <c r="AG118" s="327"/>
      <c r="AH118" s="29"/>
      <c r="AI118" s="29"/>
      <c r="AJ118" s="29"/>
      <c r="AK118" s="29"/>
      <c r="AL118" s="29"/>
      <c r="AM118" s="29"/>
      <c r="AN118" s="29"/>
    </row>
    <row r="119" spans="1:40" ht="14.4" customHeight="1">
      <c r="A119" s="611" t="s">
        <v>252</v>
      </c>
      <c r="B119" s="612"/>
      <c r="C119" s="308">
        <v>1</v>
      </c>
      <c r="D119" s="232" t="str">
        <f>IF(C119=0,"Growth %","$ by item")</f>
        <v>$ by item</v>
      </c>
      <c r="E119" s="326"/>
      <c r="F119" s="138" t="str">
        <f>'Data Worksheet'!A52</f>
        <v>Debt Service/Tfrs-Debt Svc</v>
      </c>
      <c r="G119" s="122"/>
      <c r="H119" s="17">
        <v>0</v>
      </c>
      <c r="I119" s="17">
        <v>0</v>
      </c>
      <c r="J119" s="17">
        <v>0</v>
      </c>
      <c r="K119" s="17">
        <v>0</v>
      </c>
      <c r="L119" s="17">
        <v>0</v>
      </c>
      <c r="M119" s="17">
        <v>0</v>
      </c>
      <c r="N119" s="18">
        <v>0</v>
      </c>
      <c r="O119" s="29"/>
      <c r="P119" s="29"/>
      <c r="Q119" s="29"/>
      <c r="R119" s="29"/>
      <c r="S119" s="29"/>
      <c r="T119" s="29"/>
      <c r="U119" s="29"/>
      <c r="V119" s="29"/>
      <c r="W119" s="29"/>
      <c r="X119" s="327"/>
      <c r="Y119" s="327"/>
      <c r="Z119" s="327"/>
      <c r="AA119" s="327"/>
      <c r="AB119" s="327"/>
      <c r="AC119" s="327"/>
      <c r="AD119" s="327"/>
      <c r="AE119" s="327"/>
      <c r="AF119" s="327"/>
      <c r="AG119" s="327"/>
      <c r="AH119" s="327"/>
      <c r="AI119" s="327"/>
      <c r="AJ119" s="327"/>
      <c r="AK119" s="327"/>
      <c r="AL119" s="327"/>
      <c r="AM119" s="327"/>
      <c r="AN119" s="327"/>
    </row>
    <row r="120" spans="1:40" ht="14.4" customHeight="1" thickBot="1">
      <c r="A120" s="613" t="s">
        <v>253</v>
      </c>
      <c r="B120" s="614"/>
      <c r="C120" s="154">
        <v>1</v>
      </c>
      <c r="D120" s="235" t="str">
        <f>IF(C120=0,"Growth %","$ by item")</f>
        <v>$ by item</v>
      </c>
      <c r="E120" s="326"/>
      <c r="F120" s="138" t="str">
        <f>'Data Worksheet'!A53</f>
        <v>Capital/Tfrs to Cap Projs</v>
      </c>
      <c r="G120" s="122"/>
      <c r="H120" s="17">
        <v>0.03</v>
      </c>
      <c r="I120" s="17">
        <v>0.03</v>
      </c>
      <c r="J120" s="17">
        <v>0.03</v>
      </c>
      <c r="K120" s="17">
        <v>0.03</v>
      </c>
      <c r="L120" s="17">
        <v>0.03</v>
      </c>
      <c r="M120" s="17">
        <v>0.03</v>
      </c>
      <c r="N120" s="18">
        <v>0.03</v>
      </c>
      <c r="O120" s="29"/>
      <c r="P120" s="29"/>
      <c r="Q120" s="29"/>
      <c r="R120" s="29"/>
      <c r="S120" s="29"/>
      <c r="T120" s="29"/>
      <c r="U120" s="29"/>
      <c r="V120" s="29"/>
      <c r="W120" s="29"/>
      <c r="X120" s="327"/>
      <c r="Y120" s="327"/>
      <c r="Z120" s="327"/>
      <c r="AA120" s="327"/>
      <c r="AB120" s="327"/>
      <c r="AC120" s="327"/>
      <c r="AD120" s="327"/>
      <c r="AE120" s="327"/>
      <c r="AF120" s="327"/>
      <c r="AG120" s="327"/>
      <c r="AH120" s="327"/>
      <c r="AI120" s="327"/>
      <c r="AJ120" s="327"/>
      <c r="AK120" s="327"/>
      <c r="AL120" s="327"/>
      <c r="AM120" s="327"/>
      <c r="AN120" s="327"/>
    </row>
    <row r="121" spans="1:40" ht="14.4" customHeight="1" thickBot="1">
      <c r="A121" s="327"/>
      <c r="B121" s="327"/>
      <c r="C121" s="327"/>
      <c r="D121" s="327"/>
      <c r="E121" s="326"/>
      <c r="F121" s="140" t="str">
        <f>'Data Worksheet'!A54</f>
        <v>Transfers Out to Other Funds</v>
      </c>
      <c r="G121" s="67"/>
      <c r="H121" s="54">
        <v>0.02</v>
      </c>
      <c r="I121" s="54">
        <v>0.02</v>
      </c>
      <c r="J121" s="54">
        <v>0.02</v>
      </c>
      <c r="K121" s="54">
        <v>0.02</v>
      </c>
      <c r="L121" s="54">
        <v>0.02</v>
      </c>
      <c r="M121" s="54">
        <v>0.02</v>
      </c>
      <c r="N121" s="55">
        <v>0.02</v>
      </c>
      <c r="O121" s="327"/>
      <c r="P121" s="327"/>
      <c r="Q121" s="327"/>
      <c r="R121" s="327"/>
      <c r="S121" s="327"/>
      <c r="T121" s="327"/>
      <c r="U121" s="327"/>
      <c r="V121" s="327"/>
      <c r="W121" s="327"/>
      <c r="X121" s="327"/>
      <c r="Y121" s="327"/>
      <c r="Z121" s="327"/>
      <c r="AA121" s="327"/>
      <c r="AB121" s="327"/>
      <c r="AC121" s="327"/>
      <c r="AD121" s="327"/>
      <c r="AE121" s="327"/>
      <c r="AF121" s="327"/>
      <c r="AG121" s="327"/>
      <c r="AH121" s="327"/>
      <c r="AI121" s="327"/>
      <c r="AJ121" s="327"/>
      <c r="AK121" s="327"/>
      <c r="AL121" s="327"/>
      <c r="AM121" s="327"/>
      <c r="AN121" s="327"/>
    </row>
    <row r="122" spans="1:40" ht="14.4" customHeight="1">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c r="AK122" s="327"/>
      <c r="AL122" s="327"/>
      <c r="AM122" s="327"/>
      <c r="AN122" s="327"/>
    </row>
    <row r="123" spans="1:40" ht="14.4" customHeight="1">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27"/>
      <c r="AN123" s="327"/>
    </row>
    <row r="124" spans="1:40" ht="14.4" customHeight="1">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27"/>
    </row>
    <row r="125" spans="1:40" ht="14.4" customHeight="1">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327"/>
      <c r="AJ125" s="327"/>
      <c r="AK125" s="327"/>
      <c r="AL125" s="327"/>
      <c r="AM125" s="327"/>
      <c r="AN125" s="327"/>
    </row>
    <row r="126" spans="1:40" ht="14.4" customHeight="1">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27"/>
      <c r="AN126" s="327"/>
    </row>
    <row r="127" spans="1:40" ht="14.4" customHeight="1">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327"/>
      <c r="AK127" s="327"/>
      <c r="AL127" s="327"/>
      <c r="AM127" s="327"/>
      <c r="AN127" s="327"/>
    </row>
    <row r="128" spans="1:40" ht="14.4" customHeight="1">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c r="AI128" s="327"/>
      <c r="AJ128" s="327"/>
      <c r="AK128" s="327"/>
      <c r="AL128" s="327"/>
      <c r="AM128" s="327"/>
      <c r="AN128" s="327"/>
    </row>
    <row r="129" spans="1:40" ht="14.4" customHeight="1" thickBot="1">
      <c r="A129" s="99" t="s">
        <v>302</v>
      </c>
      <c r="B129" s="100"/>
      <c r="C129" s="100"/>
      <c r="D129" s="173" t="s">
        <v>303</v>
      </c>
      <c r="E129" s="141"/>
      <c r="F129" s="72"/>
      <c r="G129" s="64"/>
      <c r="H129" s="29"/>
      <c r="I129" s="29"/>
      <c r="J129" s="29"/>
      <c r="K129" s="72"/>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row>
    <row r="130" spans="1:40" ht="14.4" customHeight="1">
      <c r="A130" s="142" t="s">
        <v>130</v>
      </c>
      <c r="B130" s="143"/>
      <c r="C130" s="143"/>
      <c r="D130" s="144" t="s">
        <v>367</v>
      </c>
      <c r="E130" s="145" t="s">
        <v>368</v>
      </c>
      <c r="F130" s="144" t="s">
        <v>361</v>
      </c>
      <c r="G130" s="144" t="s">
        <v>362</v>
      </c>
      <c r="H130" s="144" t="s">
        <v>363</v>
      </c>
      <c r="I130" s="144" t="s">
        <v>364</v>
      </c>
      <c r="J130" s="144" t="s">
        <v>365</v>
      </c>
      <c r="K130" s="144" t="s">
        <v>366</v>
      </c>
      <c r="L130" s="144" t="s">
        <v>370</v>
      </c>
      <c r="M130" s="147" t="s">
        <v>371</v>
      </c>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row>
    <row r="131" spans="1:40" ht="14.4" customHeight="1">
      <c r="A131" s="56" t="s">
        <v>123</v>
      </c>
      <c r="B131" s="68"/>
      <c r="C131" s="68"/>
      <c r="D131" s="236"/>
      <c r="E131" s="236"/>
      <c r="F131" s="236"/>
      <c r="G131" s="237">
        <f>'Data Worksheet'!F75</f>
        <v>2.75E-2</v>
      </c>
      <c r="H131" s="237">
        <f>'Data Worksheet'!G75</f>
        <v>2.2499999999999999E-2</v>
      </c>
      <c r="I131" s="237">
        <f>'Data Worksheet'!H75</f>
        <v>2.2499999999999999E-2</v>
      </c>
      <c r="J131" s="237">
        <f>'Data Worksheet'!I75</f>
        <v>2.2499999999999999E-2</v>
      </c>
      <c r="K131" s="237">
        <f>'Data Worksheet'!J75</f>
        <v>2.2499999999999999E-2</v>
      </c>
      <c r="L131" s="237">
        <f>'Data Worksheet'!K75</f>
        <v>2.2499999999999999E-2</v>
      </c>
      <c r="M131" s="238">
        <f>'Data Worksheet'!L75</f>
        <v>2.2499999999999999E-2</v>
      </c>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row>
    <row r="132" spans="1:40" ht="14.4" customHeight="1">
      <c r="A132" s="56" t="s">
        <v>124</v>
      </c>
      <c r="B132" s="68"/>
      <c r="C132" s="68"/>
      <c r="D132" s="236"/>
      <c r="E132" s="236"/>
      <c r="F132" s="236"/>
      <c r="G132" s="237">
        <f>'Data Worksheet'!F81</f>
        <v>2.75E-2</v>
      </c>
      <c r="H132" s="237">
        <f>'Data Worksheet'!G81</f>
        <v>2.2499999999999999E-2</v>
      </c>
      <c r="I132" s="237">
        <f>'Data Worksheet'!H81</f>
        <v>2.2499999999999999E-2</v>
      </c>
      <c r="J132" s="237">
        <f>'Data Worksheet'!I81</f>
        <v>2.2499999999999999E-2</v>
      </c>
      <c r="K132" s="237">
        <f>'Data Worksheet'!J81</f>
        <v>2.2499999999999999E-2</v>
      </c>
      <c r="L132" s="237">
        <f>'Data Worksheet'!K81</f>
        <v>2.2499999999999999E-2</v>
      </c>
      <c r="M132" s="238">
        <f>'Data Worksheet'!L81</f>
        <v>2.2499999999999999E-2</v>
      </c>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row>
    <row r="133" spans="1:40" ht="14.4" customHeight="1">
      <c r="A133" s="56" t="s">
        <v>125</v>
      </c>
      <c r="B133" s="68"/>
      <c r="C133" s="68"/>
      <c r="D133" s="236"/>
      <c r="E133" s="236"/>
      <c r="F133" s="236"/>
      <c r="G133" s="237">
        <f>'Data Worksheet'!F87</f>
        <v>2.2499999999999999E-2</v>
      </c>
      <c r="H133" s="237">
        <f>'Data Worksheet'!G87</f>
        <v>2.2499999999999999E-2</v>
      </c>
      <c r="I133" s="237">
        <f>'Data Worksheet'!H87</f>
        <v>2.2499999999999999E-2</v>
      </c>
      <c r="J133" s="237">
        <f>'Data Worksheet'!I87</f>
        <v>2.2499999999999999E-2</v>
      </c>
      <c r="K133" s="237">
        <f>'Data Worksheet'!J87</f>
        <v>2.2499999999999999E-2</v>
      </c>
      <c r="L133" s="237">
        <f>'Data Worksheet'!K87</f>
        <v>2.2499999999999999E-2</v>
      </c>
      <c r="M133" s="238">
        <f>'Data Worksheet'!L87</f>
        <v>2.2499999999999999E-2</v>
      </c>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row>
    <row r="134" spans="1:40" ht="14.4" customHeight="1" thickBot="1">
      <c r="A134" s="146" t="s">
        <v>126</v>
      </c>
      <c r="B134" s="83"/>
      <c r="C134" s="83"/>
      <c r="D134" s="239"/>
      <c r="E134" s="239"/>
      <c r="F134" s="239"/>
      <c r="G134" s="240">
        <f>'Data Worksheet'!$B75*G131+'Data Worksheet'!$B81*G132+'Data Worksheet'!$B87*G133</f>
        <v>0</v>
      </c>
      <c r="H134" s="240">
        <f>'Data Worksheet'!$B75*H131+'Data Worksheet'!$B81*H132+'Data Worksheet'!$B87*H133</f>
        <v>0</v>
      </c>
      <c r="I134" s="240">
        <f>'Data Worksheet'!$B75*I131+'Data Worksheet'!$B81*I132+'Data Worksheet'!$B87*I133</f>
        <v>0</v>
      </c>
      <c r="J134" s="240">
        <f>'Data Worksheet'!$B75*J131+'Data Worksheet'!$B81*J132+'Data Worksheet'!$B87*J133</f>
        <v>0</v>
      </c>
      <c r="K134" s="240">
        <f>'Data Worksheet'!$B75*K131+'Data Worksheet'!$B81*K132+'Data Worksheet'!$B87*K133</f>
        <v>0</v>
      </c>
      <c r="L134" s="240">
        <f>'Data Worksheet'!$B75*L131+'Data Worksheet'!$B81*L132+'Data Worksheet'!$B87*L133</f>
        <v>0</v>
      </c>
      <c r="M134" s="241">
        <f>'Data Worksheet'!$B75*M131+'Data Worksheet'!$B81*M132+'Data Worksheet'!$B87*M133</f>
        <v>0</v>
      </c>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row>
    <row r="135" spans="1:40" ht="14.4" customHeight="1">
      <c r="A135" s="64"/>
      <c r="B135" s="64"/>
      <c r="C135" s="64"/>
      <c r="D135" s="242"/>
      <c r="E135" s="242"/>
      <c r="F135" s="242"/>
      <c r="G135" s="242"/>
      <c r="H135" s="242"/>
      <c r="I135" s="242"/>
      <c r="J135" s="242"/>
      <c r="K135" s="242"/>
      <c r="L135" s="242"/>
      <c r="M135" s="242"/>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row>
    <row r="136" spans="1:40" ht="14.4" customHeight="1" thickBot="1">
      <c r="A136" s="99" t="s">
        <v>302</v>
      </c>
      <c r="B136" s="29"/>
      <c r="C136" s="29"/>
      <c r="D136" s="243" t="s">
        <v>304</v>
      </c>
      <c r="E136" s="244"/>
      <c r="F136" s="244"/>
      <c r="G136" s="244"/>
      <c r="H136" s="244"/>
      <c r="I136" s="244"/>
      <c r="J136" s="244"/>
      <c r="K136" s="244"/>
      <c r="L136" s="244"/>
      <c r="M136" s="244"/>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row>
    <row r="137" spans="1:40" ht="14.4" customHeight="1">
      <c r="A137" s="142" t="s">
        <v>247</v>
      </c>
      <c r="B137" s="65"/>
      <c r="C137" s="65"/>
      <c r="D137" s="245" t="s">
        <v>367</v>
      </c>
      <c r="E137" s="245" t="s">
        <v>368</v>
      </c>
      <c r="F137" s="245" t="s">
        <v>361</v>
      </c>
      <c r="G137" s="245" t="s">
        <v>362</v>
      </c>
      <c r="H137" s="245" t="s">
        <v>363</v>
      </c>
      <c r="I137" s="245" t="s">
        <v>364</v>
      </c>
      <c r="J137" s="245" t="s">
        <v>365</v>
      </c>
      <c r="K137" s="245" t="s">
        <v>366</v>
      </c>
      <c r="L137" s="245" t="s">
        <v>370</v>
      </c>
      <c r="M137" s="246" t="s">
        <v>371</v>
      </c>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row>
    <row r="138" spans="1:40" ht="14.4" customHeight="1">
      <c r="A138" s="148" t="s">
        <v>127</v>
      </c>
      <c r="B138" s="68"/>
      <c r="C138" s="68"/>
      <c r="D138" s="237">
        <f>'Data Worksheet'!C129</f>
        <v>0</v>
      </c>
      <c r="E138" s="237">
        <f>'Data Worksheet'!D129</f>
        <v>0</v>
      </c>
      <c r="F138" s="237">
        <f>'Data Worksheet'!E129</f>
        <v>0</v>
      </c>
      <c r="G138" s="237">
        <f>'Data Worksheet'!F129</f>
        <v>0</v>
      </c>
      <c r="H138" s="237">
        <f>'Data Worksheet'!G129</f>
        <v>0</v>
      </c>
      <c r="I138" s="237">
        <f>'Data Worksheet'!H129</f>
        <v>0</v>
      </c>
      <c r="J138" s="237">
        <f>'Data Worksheet'!I129</f>
        <v>0</v>
      </c>
      <c r="K138" s="237">
        <f>'Data Worksheet'!J129</f>
        <v>0</v>
      </c>
      <c r="L138" s="237">
        <f>'Data Worksheet'!K129</f>
        <v>0</v>
      </c>
      <c r="M138" s="238">
        <f>'Data Worksheet'!L129</f>
        <v>0</v>
      </c>
      <c r="N138" s="29"/>
      <c r="O138" s="29"/>
      <c r="P138" s="29"/>
      <c r="Q138" s="29"/>
      <c r="R138" s="328"/>
      <c r="S138" s="29"/>
      <c r="T138" s="29"/>
      <c r="U138" s="29"/>
      <c r="V138" s="29"/>
      <c r="W138" s="29"/>
      <c r="X138" s="29"/>
      <c r="Y138" s="29"/>
      <c r="Z138" s="29"/>
      <c r="AA138" s="29"/>
      <c r="AB138" s="29"/>
      <c r="AC138" s="29"/>
      <c r="AD138" s="29"/>
      <c r="AE138" s="29"/>
      <c r="AF138" s="29"/>
      <c r="AG138" s="29"/>
      <c r="AH138" s="29"/>
      <c r="AI138" s="29"/>
      <c r="AJ138" s="29"/>
      <c r="AK138" s="29"/>
      <c r="AL138" s="29"/>
      <c r="AM138" s="29"/>
      <c r="AN138" s="29"/>
    </row>
    <row r="139" spans="1:40" ht="14.4" customHeight="1">
      <c r="A139" s="148" t="s">
        <v>128</v>
      </c>
      <c r="B139" s="68"/>
      <c r="C139" s="68"/>
      <c r="D139" s="237">
        <f>'Data Worksheet'!C160</f>
        <v>0</v>
      </c>
      <c r="E139" s="237">
        <f>'Data Worksheet'!D160</f>
        <v>0</v>
      </c>
      <c r="F139" s="237">
        <f>'Data Worksheet'!E160</f>
        <v>0</v>
      </c>
      <c r="G139" s="237">
        <f>'Data Worksheet'!F160</f>
        <v>0</v>
      </c>
      <c r="H139" s="237">
        <f>'Data Worksheet'!G160</f>
        <v>0</v>
      </c>
      <c r="I139" s="237">
        <f>'Data Worksheet'!H160</f>
        <v>0</v>
      </c>
      <c r="J139" s="237">
        <f>'Data Worksheet'!I160</f>
        <v>0</v>
      </c>
      <c r="K139" s="237">
        <f>'Data Worksheet'!J160</f>
        <v>0</v>
      </c>
      <c r="L139" s="237">
        <f>'Data Worksheet'!K160</f>
        <v>0</v>
      </c>
      <c r="M139" s="238">
        <f>'Data Worksheet'!L160</f>
        <v>0</v>
      </c>
      <c r="N139" s="29"/>
      <c r="O139" s="29"/>
      <c r="P139" s="29"/>
      <c r="Q139" s="29"/>
      <c r="R139" s="32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row>
    <row r="140" spans="1:40" ht="14.4" customHeight="1" thickBot="1">
      <c r="A140" s="149" t="s">
        <v>129</v>
      </c>
      <c r="B140" s="83"/>
      <c r="C140" s="83"/>
      <c r="D140" s="240">
        <f>'Data Worksheet'!C191</f>
        <v>0</v>
      </c>
      <c r="E140" s="240">
        <f>'Data Worksheet'!D191</f>
        <v>0</v>
      </c>
      <c r="F140" s="240">
        <f>'Data Worksheet'!E191</f>
        <v>0</v>
      </c>
      <c r="G140" s="240">
        <f>'Data Worksheet'!F191</f>
        <v>0</v>
      </c>
      <c r="H140" s="240">
        <f>'Data Worksheet'!G191</f>
        <v>0</v>
      </c>
      <c r="I140" s="240">
        <f>'Data Worksheet'!H191</f>
        <v>0</v>
      </c>
      <c r="J140" s="240">
        <f>'Data Worksheet'!I191</f>
        <v>0</v>
      </c>
      <c r="K140" s="240">
        <f>'Data Worksheet'!J191</f>
        <v>0</v>
      </c>
      <c r="L140" s="240">
        <f>'Data Worksheet'!K191</f>
        <v>0</v>
      </c>
      <c r="M140" s="241">
        <f>'Data Worksheet'!L191</f>
        <v>0</v>
      </c>
      <c r="N140" s="29"/>
      <c r="O140" s="29"/>
      <c r="P140" s="29"/>
      <c r="Q140" s="29"/>
      <c r="R140" s="32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row>
    <row r="141" spans="1:40" ht="14.4" customHeight="1">
      <c r="A141" s="29"/>
      <c r="B141" s="29"/>
      <c r="C141" s="29"/>
      <c r="D141" s="244"/>
      <c r="E141" s="244"/>
      <c r="F141" s="244"/>
      <c r="G141" s="244"/>
      <c r="H141" s="244"/>
      <c r="I141" s="244"/>
      <c r="J141" s="244"/>
      <c r="K141" s="244"/>
      <c r="L141" s="244"/>
      <c r="M141" s="244"/>
      <c r="N141" s="29"/>
      <c r="O141" s="29"/>
      <c r="P141" s="29"/>
      <c r="Q141" s="29"/>
      <c r="R141" s="328"/>
      <c r="S141" s="29"/>
      <c r="T141" s="29"/>
      <c r="U141" s="29"/>
      <c r="V141" s="29"/>
      <c r="W141" s="29"/>
      <c r="X141" s="29"/>
      <c r="Y141" s="29"/>
      <c r="Z141" s="29"/>
      <c r="AA141" s="29"/>
      <c r="AB141" s="29"/>
      <c r="AC141" s="29"/>
      <c r="AD141" s="29"/>
      <c r="AE141" s="29"/>
      <c r="AF141" s="29"/>
      <c r="AG141" s="29"/>
      <c r="AH141" s="29"/>
      <c r="AI141" s="29"/>
      <c r="AJ141" s="29"/>
      <c r="AK141" s="29"/>
      <c r="AL141" s="29"/>
      <c r="AM141" s="29"/>
      <c r="AN141" s="29"/>
    </row>
    <row r="142" spans="1:40" ht="14.4" customHeight="1" thickBot="1">
      <c r="A142" s="99" t="s">
        <v>302</v>
      </c>
      <c r="B142" s="29"/>
      <c r="C142" s="29"/>
      <c r="D142" s="247" t="s">
        <v>306</v>
      </c>
      <c r="E142" s="244"/>
      <c r="F142" s="244"/>
      <c r="G142" s="244"/>
      <c r="H142" s="244"/>
      <c r="I142" s="244"/>
      <c r="J142" s="244"/>
      <c r="K142" s="244"/>
      <c r="L142" s="244"/>
      <c r="M142" s="244"/>
      <c r="N142" s="29"/>
      <c r="O142" s="29"/>
      <c r="P142" s="29"/>
      <c r="Q142" s="29"/>
      <c r="R142" s="3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row>
    <row r="143" spans="1:40" ht="14.4" customHeight="1">
      <c r="A143" s="142" t="s">
        <v>188</v>
      </c>
      <c r="B143" s="65"/>
      <c r="C143" s="65"/>
      <c r="D143" s="245" t="s">
        <v>367</v>
      </c>
      <c r="E143" s="245" t="s">
        <v>368</v>
      </c>
      <c r="F143" s="245" t="s">
        <v>361</v>
      </c>
      <c r="G143" s="245" t="s">
        <v>362</v>
      </c>
      <c r="H143" s="245" t="s">
        <v>363</v>
      </c>
      <c r="I143" s="245" t="s">
        <v>364</v>
      </c>
      <c r="J143" s="245" t="s">
        <v>365</v>
      </c>
      <c r="K143" s="245" t="s">
        <v>366</v>
      </c>
      <c r="L143" s="245" t="s">
        <v>370</v>
      </c>
      <c r="M143" s="246" t="s">
        <v>371</v>
      </c>
      <c r="N143" s="29"/>
      <c r="O143" s="29"/>
      <c r="P143" s="29"/>
      <c r="Q143" s="29"/>
      <c r="R143" s="328"/>
      <c r="S143" s="29"/>
      <c r="T143" s="29"/>
      <c r="U143" s="29"/>
      <c r="V143" s="29"/>
      <c r="W143" s="29"/>
      <c r="X143" s="29"/>
      <c r="Y143" s="29"/>
      <c r="Z143" s="29"/>
      <c r="AA143" s="29"/>
      <c r="AB143" s="29"/>
      <c r="AC143" s="29"/>
      <c r="AD143" s="29"/>
      <c r="AE143" s="29"/>
      <c r="AF143" s="29"/>
      <c r="AG143" s="29"/>
      <c r="AH143" s="29"/>
      <c r="AI143" s="29"/>
      <c r="AJ143" s="29"/>
      <c r="AK143" s="29"/>
      <c r="AL143" s="29"/>
      <c r="AM143" s="29"/>
      <c r="AN143" s="29"/>
    </row>
    <row r="144" spans="1:40" ht="14.4" customHeight="1">
      <c r="A144" s="355" t="str">
        <f>'Data Worksheet'!A195</f>
        <v>Debt services for new maintenance facilities</v>
      </c>
      <c r="B144" s="356"/>
      <c r="C144" s="356"/>
      <c r="D144" s="219">
        <f>'Data Worksheet'!C195</f>
        <v>0</v>
      </c>
      <c r="E144" s="219">
        <f>'Data Worksheet'!D195</f>
        <v>0</v>
      </c>
      <c r="F144" s="219">
        <f>'Data Worksheet'!E195</f>
        <v>0</v>
      </c>
      <c r="G144" s="219">
        <f>'Data Worksheet'!F195</f>
        <v>0.2394</v>
      </c>
      <c r="H144" s="219">
        <f>'Data Worksheet'!G195</f>
        <v>0.2394</v>
      </c>
      <c r="I144" s="219">
        <f>'Data Worksheet'!H195</f>
        <v>0.2394</v>
      </c>
      <c r="J144" s="219">
        <f>'Data Worksheet'!I195</f>
        <v>0.2394</v>
      </c>
      <c r="K144" s="219">
        <f>'Data Worksheet'!J195</f>
        <v>0.2394</v>
      </c>
      <c r="L144" s="219">
        <f>'Data Worksheet'!K195</f>
        <v>0.2394</v>
      </c>
      <c r="M144" s="248">
        <f>'Data Worksheet'!L195</f>
        <v>0.2394</v>
      </c>
      <c r="N144" s="29"/>
      <c r="O144" s="29"/>
      <c r="P144" s="29"/>
      <c r="Q144" s="29"/>
      <c r="R144" s="328"/>
      <c r="S144" s="29"/>
      <c r="T144" s="29"/>
      <c r="U144" s="29"/>
      <c r="V144" s="29"/>
      <c r="W144" s="29"/>
      <c r="X144" s="29"/>
      <c r="Y144" s="29"/>
      <c r="Z144" s="29"/>
      <c r="AA144" s="29"/>
      <c r="AB144" s="29"/>
      <c r="AC144" s="29"/>
      <c r="AD144" s="29"/>
      <c r="AE144" s="29"/>
      <c r="AF144" s="29"/>
      <c r="AG144" s="29"/>
      <c r="AH144" s="29"/>
      <c r="AI144" s="29"/>
      <c r="AJ144" s="29"/>
      <c r="AK144" s="29"/>
      <c r="AL144" s="29"/>
      <c r="AM144" s="29"/>
      <c r="AN144" s="29"/>
    </row>
    <row r="145" spans="1:40" ht="14.4" customHeight="1">
      <c r="A145" s="355" t="str">
        <f>'Data Worksheet'!A196</f>
        <v>item 2</v>
      </c>
      <c r="B145" s="356"/>
      <c r="C145" s="356"/>
      <c r="D145" s="219">
        <f>'Data Worksheet'!C196</f>
        <v>0</v>
      </c>
      <c r="E145" s="219">
        <f>'Data Worksheet'!D196</f>
        <v>0</v>
      </c>
      <c r="F145" s="219">
        <f>'Data Worksheet'!E196</f>
        <v>0</v>
      </c>
      <c r="G145" s="219">
        <f>'Data Worksheet'!F196</f>
        <v>0</v>
      </c>
      <c r="H145" s="219">
        <f>'Data Worksheet'!G196</f>
        <v>0</v>
      </c>
      <c r="I145" s="219">
        <f>'Data Worksheet'!H196</f>
        <v>0</v>
      </c>
      <c r="J145" s="219">
        <f>'Data Worksheet'!I196</f>
        <v>0</v>
      </c>
      <c r="K145" s="219">
        <f>'Data Worksheet'!J196</f>
        <v>0</v>
      </c>
      <c r="L145" s="219">
        <f>'Data Worksheet'!K196</f>
        <v>0</v>
      </c>
      <c r="M145" s="248">
        <f>'Data Worksheet'!L196</f>
        <v>0</v>
      </c>
      <c r="N145" s="29"/>
      <c r="O145" s="29"/>
      <c r="P145" s="29"/>
      <c r="Q145" s="29"/>
      <c r="R145" s="328"/>
      <c r="S145" s="29"/>
      <c r="T145" s="29"/>
      <c r="U145" s="29"/>
      <c r="V145" s="29"/>
      <c r="W145" s="29"/>
      <c r="X145" s="29"/>
      <c r="Y145" s="29"/>
      <c r="Z145" s="29"/>
      <c r="AA145" s="29"/>
      <c r="AB145" s="29"/>
      <c r="AC145" s="29"/>
      <c r="AD145" s="29"/>
      <c r="AE145" s="29"/>
      <c r="AF145" s="29"/>
      <c r="AG145" s="29"/>
      <c r="AH145" s="29"/>
      <c r="AI145" s="29"/>
      <c r="AJ145" s="29"/>
      <c r="AK145" s="29"/>
      <c r="AL145" s="29"/>
      <c r="AM145" s="29"/>
      <c r="AN145" s="29"/>
    </row>
    <row r="146" spans="1:40" ht="14.4" customHeight="1">
      <c r="A146" s="355" t="str">
        <f>'Data Worksheet'!A197</f>
        <v>item 3</v>
      </c>
      <c r="B146" s="356"/>
      <c r="C146" s="356"/>
      <c r="D146" s="219">
        <f>'Data Worksheet'!C197</f>
        <v>0</v>
      </c>
      <c r="E146" s="219">
        <f>'Data Worksheet'!D197</f>
        <v>0</v>
      </c>
      <c r="F146" s="219">
        <f>'Data Worksheet'!E197</f>
        <v>0</v>
      </c>
      <c r="G146" s="219">
        <f>'Data Worksheet'!F197</f>
        <v>0</v>
      </c>
      <c r="H146" s="219">
        <f>'Data Worksheet'!G197</f>
        <v>0</v>
      </c>
      <c r="I146" s="219">
        <f>'Data Worksheet'!H197</f>
        <v>0</v>
      </c>
      <c r="J146" s="219">
        <f>'Data Worksheet'!I197</f>
        <v>0</v>
      </c>
      <c r="K146" s="219">
        <f>'Data Worksheet'!J197</f>
        <v>0</v>
      </c>
      <c r="L146" s="219">
        <f>'Data Worksheet'!K197</f>
        <v>0</v>
      </c>
      <c r="M146" s="248">
        <f>'Data Worksheet'!L197</f>
        <v>0</v>
      </c>
      <c r="N146" s="29"/>
      <c r="O146" s="29"/>
      <c r="P146" s="29"/>
      <c r="Q146" s="29"/>
      <c r="R146" s="328"/>
      <c r="S146" s="29"/>
      <c r="T146" s="29"/>
      <c r="U146" s="29"/>
      <c r="V146" s="29"/>
      <c r="W146" s="29"/>
      <c r="X146" s="29"/>
      <c r="Y146" s="29"/>
      <c r="Z146" s="29"/>
      <c r="AA146" s="29"/>
      <c r="AB146" s="29"/>
      <c r="AC146" s="29"/>
      <c r="AD146" s="29"/>
      <c r="AE146" s="29"/>
      <c r="AF146" s="29"/>
      <c r="AG146" s="29"/>
      <c r="AH146" s="29"/>
      <c r="AI146" s="29"/>
      <c r="AJ146" s="29"/>
      <c r="AK146" s="29"/>
      <c r="AL146" s="29"/>
      <c r="AM146" s="29"/>
      <c r="AN146" s="29"/>
    </row>
    <row r="147" spans="1:40" ht="14.4" customHeight="1">
      <c r="A147" s="355" t="str">
        <f>'Data Worksheet'!A198</f>
        <v>item 4</v>
      </c>
      <c r="B147" s="356"/>
      <c r="C147" s="356"/>
      <c r="D147" s="219">
        <f>'Data Worksheet'!C198</f>
        <v>0</v>
      </c>
      <c r="E147" s="219">
        <f>'Data Worksheet'!D198</f>
        <v>0</v>
      </c>
      <c r="F147" s="219">
        <f>'Data Worksheet'!E198</f>
        <v>0</v>
      </c>
      <c r="G147" s="219">
        <f>'Data Worksheet'!F198</f>
        <v>0</v>
      </c>
      <c r="H147" s="219">
        <f>'Data Worksheet'!G198</f>
        <v>0</v>
      </c>
      <c r="I147" s="219">
        <f>'Data Worksheet'!H198</f>
        <v>0</v>
      </c>
      <c r="J147" s="219">
        <f>'Data Worksheet'!I198</f>
        <v>0</v>
      </c>
      <c r="K147" s="219">
        <f>'Data Worksheet'!J198</f>
        <v>0</v>
      </c>
      <c r="L147" s="219">
        <f>'Data Worksheet'!K198</f>
        <v>0</v>
      </c>
      <c r="M147" s="248">
        <f>'Data Worksheet'!L198</f>
        <v>0</v>
      </c>
      <c r="N147" s="29"/>
      <c r="O147" s="29"/>
      <c r="P147" s="29"/>
      <c r="Q147" s="29"/>
      <c r="R147" s="328"/>
      <c r="S147" s="29"/>
      <c r="T147" s="29"/>
      <c r="U147" s="29"/>
      <c r="V147" s="29"/>
      <c r="W147" s="29"/>
      <c r="X147" s="29"/>
      <c r="Y147" s="29"/>
      <c r="Z147" s="29"/>
      <c r="AA147" s="29"/>
      <c r="AB147" s="29"/>
      <c r="AC147" s="29"/>
      <c r="AD147" s="29"/>
      <c r="AE147" s="29"/>
      <c r="AF147" s="29"/>
      <c r="AG147" s="29"/>
      <c r="AH147" s="29"/>
      <c r="AI147" s="29"/>
      <c r="AJ147" s="29"/>
      <c r="AK147" s="29"/>
      <c r="AL147" s="29"/>
      <c r="AM147" s="29"/>
      <c r="AN147" s="29"/>
    </row>
    <row r="148" spans="1:40" ht="14.4" customHeight="1" thickBot="1">
      <c r="A148" s="357" t="str">
        <f>'Data Worksheet'!A199</f>
        <v>Other</v>
      </c>
      <c r="B148" s="358"/>
      <c r="C148" s="358"/>
      <c r="D148" s="249">
        <f>'Data Worksheet'!C199</f>
        <v>0</v>
      </c>
      <c r="E148" s="249">
        <f>'Data Worksheet'!D199</f>
        <v>0</v>
      </c>
      <c r="F148" s="249">
        <f>'Data Worksheet'!E199</f>
        <v>0</v>
      </c>
      <c r="G148" s="249">
        <f>'Data Worksheet'!F199</f>
        <v>0</v>
      </c>
      <c r="H148" s="249">
        <f>'Data Worksheet'!G199</f>
        <v>0</v>
      </c>
      <c r="I148" s="249">
        <f>'Data Worksheet'!H199</f>
        <v>0</v>
      </c>
      <c r="J148" s="249">
        <f>'Data Worksheet'!I199</f>
        <v>0</v>
      </c>
      <c r="K148" s="249">
        <f>'Data Worksheet'!J199</f>
        <v>0</v>
      </c>
      <c r="L148" s="249">
        <f>'Data Worksheet'!K199</f>
        <v>0</v>
      </c>
      <c r="M148" s="250">
        <f>'Data Worksheet'!L199</f>
        <v>0</v>
      </c>
      <c r="N148" s="29"/>
      <c r="O148" s="29"/>
      <c r="P148" s="29"/>
      <c r="Q148" s="29"/>
      <c r="R148" s="328"/>
      <c r="S148" s="29"/>
      <c r="T148" s="29"/>
      <c r="U148" s="29"/>
      <c r="V148" s="29"/>
      <c r="W148" s="29"/>
      <c r="X148" s="29"/>
      <c r="Y148" s="29"/>
      <c r="Z148" s="29"/>
      <c r="AA148" s="29"/>
      <c r="AB148" s="29"/>
      <c r="AC148" s="29"/>
      <c r="AD148" s="29"/>
      <c r="AE148" s="29"/>
      <c r="AF148" s="29"/>
      <c r="AG148" s="29"/>
      <c r="AH148" s="29"/>
      <c r="AI148" s="29"/>
      <c r="AJ148" s="29"/>
      <c r="AK148" s="29"/>
      <c r="AL148" s="29"/>
      <c r="AM148" s="29"/>
      <c r="AN148" s="29"/>
    </row>
    <row r="149" spans="1:40" ht="14.4" customHeight="1">
      <c r="A149" s="29"/>
      <c r="B149" s="29" t="s">
        <v>192</v>
      </c>
      <c r="C149" s="29"/>
      <c r="D149" s="251">
        <f>SUM(D144:D148)</f>
        <v>0</v>
      </c>
      <c r="E149" s="251">
        <f t="shared" ref="E149:M149" si="22">SUM(E144:E148)</f>
        <v>0</v>
      </c>
      <c r="F149" s="251">
        <f t="shared" si="22"/>
        <v>0</v>
      </c>
      <c r="G149" s="251">
        <f t="shared" si="22"/>
        <v>0.2394</v>
      </c>
      <c r="H149" s="251">
        <f t="shared" si="22"/>
        <v>0.2394</v>
      </c>
      <c r="I149" s="251">
        <f t="shared" si="22"/>
        <v>0.2394</v>
      </c>
      <c r="J149" s="251">
        <f t="shared" si="22"/>
        <v>0.2394</v>
      </c>
      <c r="K149" s="251">
        <f t="shared" si="22"/>
        <v>0.2394</v>
      </c>
      <c r="L149" s="251">
        <f t="shared" si="22"/>
        <v>0.2394</v>
      </c>
      <c r="M149" s="251">
        <f t="shared" si="22"/>
        <v>0.2394</v>
      </c>
      <c r="N149" s="29"/>
      <c r="O149" s="29"/>
      <c r="P149" s="29"/>
      <c r="Q149" s="29"/>
      <c r="R149" s="328"/>
      <c r="S149" s="29"/>
      <c r="T149" s="29"/>
      <c r="U149" s="29"/>
      <c r="V149" s="29"/>
      <c r="W149" s="29"/>
      <c r="X149" s="29"/>
      <c r="Y149" s="29"/>
      <c r="Z149" s="29"/>
      <c r="AA149" s="29"/>
      <c r="AB149" s="29"/>
      <c r="AC149" s="29"/>
      <c r="AD149" s="29"/>
      <c r="AE149" s="29"/>
      <c r="AF149" s="29"/>
      <c r="AG149" s="29"/>
      <c r="AH149" s="29"/>
      <c r="AI149" s="29"/>
      <c r="AJ149" s="29"/>
      <c r="AK149" s="29"/>
      <c r="AL149" s="29"/>
      <c r="AM149" s="29"/>
      <c r="AN149" s="29"/>
    </row>
    <row r="150" spans="1:40" ht="14.4" customHeight="1">
      <c r="A150" s="29"/>
      <c r="B150" s="29"/>
      <c r="C150" s="29"/>
      <c r="D150" s="252" t="str">
        <f>IF(Debt_Growth_Option=1,IF(D149&lt;&gt;J103,"Unequal","Equal"),"")</f>
        <v>Equal</v>
      </c>
      <c r="E150" s="252" t="str">
        <f>IF(Debt_Growth_Option=1,IF(E149&lt;&gt;K103,"Unequal","Equal"),"")</f>
        <v>Equal</v>
      </c>
      <c r="F150" s="252" t="str">
        <f>IF(Debt_Growth_Option=1,IF(F149&lt;&gt;L103,"Unequal","Equal"),"")</f>
        <v>Equal</v>
      </c>
      <c r="G150" s="252" t="str">
        <f>IF(Debt_Growth_Option=1,IF(G149&lt;&gt;M103,"Unequal","Equal"),"")</f>
        <v>Unequal</v>
      </c>
      <c r="H150" s="251"/>
      <c r="I150" s="251"/>
      <c r="J150" s="251"/>
      <c r="K150" s="251"/>
      <c r="L150" s="251"/>
      <c r="M150" s="251"/>
      <c r="N150" s="29"/>
      <c r="O150" s="29"/>
      <c r="P150" s="29"/>
      <c r="Q150" s="29"/>
      <c r="R150" s="328"/>
      <c r="S150" s="29"/>
      <c r="T150" s="29"/>
      <c r="U150" s="29"/>
      <c r="V150" s="29"/>
      <c r="W150" s="29"/>
      <c r="X150" s="29"/>
      <c r="Y150" s="29"/>
      <c r="Z150" s="29"/>
      <c r="AA150" s="29"/>
      <c r="AB150" s="29"/>
      <c r="AC150" s="29"/>
      <c r="AD150" s="29"/>
      <c r="AE150" s="29"/>
      <c r="AF150" s="29"/>
      <c r="AG150" s="29"/>
      <c r="AH150" s="29"/>
      <c r="AI150" s="29"/>
      <c r="AJ150" s="29"/>
      <c r="AK150" s="29"/>
      <c r="AL150" s="29"/>
      <c r="AM150" s="29"/>
      <c r="AN150" s="29"/>
    </row>
    <row r="151" spans="1:40" ht="14.4" customHeight="1" thickBot="1">
      <c r="A151" s="99" t="s">
        <v>302</v>
      </c>
      <c r="B151" s="29"/>
      <c r="C151" s="29"/>
      <c r="D151" s="247" t="s">
        <v>305</v>
      </c>
      <c r="E151" s="244"/>
      <c r="F151" s="253"/>
      <c r="G151" s="253" t="s">
        <v>185</v>
      </c>
      <c r="H151" s="244"/>
      <c r="I151" s="244"/>
      <c r="J151" s="244"/>
      <c r="K151" s="244"/>
      <c r="L151" s="244"/>
      <c r="M151" s="244"/>
      <c r="N151" s="29"/>
      <c r="O151" s="29"/>
      <c r="P151" s="29"/>
      <c r="Q151" s="29"/>
      <c r="R151" s="328"/>
      <c r="S151" s="29"/>
      <c r="T151" s="29"/>
      <c r="U151" s="29"/>
      <c r="V151" s="29"/>
      <c r="W151" s="29"/>
      <c r="X151" s="29"/>
      <c r="Y151" s="29"/>
      <c r="Z151" s="29"/>
      <c r="AA151" s="29"/>
      <c r="AB151" s="29"/>
      <c r="AC151" s="29"/>
      <c r="AD151" s="29"/>
      <c r="AE151" s="29"/>
      <c r="AF151" s="29"/>
      <c r="AG151" s="29"/>
      <c r="AH151" s="29"/>
      <c r="AI151" s="29"/>
      <c r="AJ151" s="29"/>
      <c r="AK151" s="29"/>
      <c r="AL151" s="29"/>
      <c r="AM151" s="29"/>
      <c r="AN151" s="29"/>
    </row>
    <row r="152" spans="1:40" ht="14.4" customHeight="1">
      <c r="A152" s="142" t="s">
        <v>189</v>
      </c>
      <c r="B152" s="65"/>
      <c r="C152" s="65"/>
      <c r="D152" s="245" t="s">
        <v>367</v>
      </c>
      <c r="E152" s="245" t="s">
        <v>368</v>
      </c>
      <c r="F152" s="245" t="s">
        <v>361</v>
      </c>
      <c r="G152" s="245" t="s">
        <v>362</v>
      </c>
      <c r="H152" s="245" t="s">
        <v>363</v>
      </c>
      <c r="I152" s="245" t="s">
        <v>364</v>
      </c>
      <c r="J152" s="245" t="s">
        <v>365</v>
      </c>
      <c r="K152" s="245" t="s">
        <v>366</v>
      </c>
      <c r="L152" s="245" t="s">
        <v>370</v>
      </c>
      <c r="M152" s="246" t="s">
        <v>371</v>
      </c>
      <c r="N152" s="29"/>
      <c r="O152" s="29"/>
      <c r="P152" s="29"/>
      <c r="Q152" s="29"/>
      <c r="R152" s="3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row>
    <row r="153" spans="1:40" ht="14.4" customHeight="1">
      <c r="A153" s="355" t="str">
        <f>'Data Worksheet'!A205</f>
        <v>Streets Fund transfers</v>
      </c>
      <c r="B153" s="359"/>
      <c r="C153" s="359"/>
      <c r="D153" s="219">
        <f>'Data Worksheet'!C205</f>
        <v>0</v>
      </c>
      <c r="E153" s="219">
        <f>'Data Worksheet'!D205</f>
        <v>0</v>
      </c>
      <c r="F153" s="219">
        <f>'Data Worksheet'!E205</f>
        <v>0</v>
      </c>
      <c r="G153" s="219">
        <f>'Data Worksheet'!F205</f>
        <v>0.59463999999999995</v>
      </c>
      <c r="H153" s="219">
        <f>'Data Worksheet'!G205</f>
        <v>0.60653279999999998</v>
      </c>
      <c r="I153" s="219">
        <f>'Data Worksheet'!H205</f>
        <v>0.61866345599999994</v>
      </c>
      <c r="J153" s="219">
        <f>'Data Worksheet'!I205</f>
        <v>0.63103672511999997</v>
      </c>
      <c r="K153" s="219">
        <f>'Data Worksheet'!J205</f>
        <v>0.64365745962239995</v>
      </c>
      <c r="L153" s="219">
        <f>'Data Worksheet'!K205</f>
        <v>0.65653060881484793</v>
      </c>
      <c r="M153" s="248">
        <f>'Data Worksheet'!L205</f>
        <v>0.66966122099114489</v>
      </c>
      <c r="N153" s="29"/>
      <c r="O153" s="29"/>
      <c r="P153" s="29"/>
      <c r="Q153" s="29"/>
      <c r="R153" s="328"/>
      <c r="S153" s="29"/>
      <c r="T153" s="29"/>
      <c r="U153" s="29"/>
      <c r="V153" s="29"/>
      <c r="W153" s="29"/>
      <c r="X153" s="29"/>
      <c r="Y153" s="29"/>
      <c r="Z153" s="29"/>
      <c r="AA153" s="29"/>
      <c r="AB153" s="29"/>
      <c r="AC153" s="29"/>
      <c r="AD153" s="29"/>
      <c r="AE153" s="29"/>
      <c r="AF153" s="29"/>
      <c r="AG153" s="29"/>
      <c r="AH153" s="29"/>
      <c r="AI153" s="29"/>
      <c r="AJ153" s="29"/>
      <c r="AK153" s="29"/>
      <c r="AL153" s="29"/>
      <c r="AM153" s="29"/>
      <c r="AN153" s="29"/>
    </row>
    <row r="154" spans="1:40" ht="14.4" customHeight="1">
      <c r="A154" s="355" t="str">
        <f>'Data Worksheet'!A206</f>
        <v>Ongoing capital outlay</v>
      </c>
      <c r="B154" s="359"/>
      <c r="C154" s="359"/>
      <c r="D154" s="219">
        <f>'Data Worksheet'!C206</f>
        <v>0</v>
      </c>
      <c r="E154" s="219">
        <f>'Data Worksheet'!D206</f>
        <v>0</v>
      </c>
      <c r="F154" s="219">
        <f>'Data Worksheet'!E206</f>
        <v>0</v>
      </c>
      <c r="G154" s="219">
        <f>'Data Worksheet'!F206</f>
        <v>0.13541</v>
      </c>
      <c r="H154" s="219">
        <f>'Data Worksheet'!G206</f>
        <v>0.13541</v>
      </c>
      <c r="I154" s="219">
        <f>'Data Worksheet'!H206</f>
        <v>0.13541</v>
      </c>
      <c r="J154" s="219">
        <f>'Data Worksheet'!I206</f>
        <v>0.13541</v>
      </c>
      <c r="K154" s="219">
        <f>'Data Worksheet'!J206</f>
        <v>0.13541</v>
      </c>
      <c r="L154" s="219">
        <f>'Data Worksheet'!K206</f>
        <v>0.13541</v>
      </c>
      <c r="M154" s="248">
        <f>'Data Worksheet'!L206</f>
        <v>0.13541</v>
      </c>
      <c r="N154" s="29"/>
      <c r="O154" s="29"/>
      <c r="P154" s="29"/>
      <c r="Q154" s="29"/>
      <c r="R154" s="328"/>
      <c r="S154" s="29"/>
      <c r="T154" s="29"/>
      <c r="U154" s="29"/>
      <c r="V154" s="29"/>
      <c r="W154" s="29"/>
      <c r="X154" s="29"/>
      <c r="Y154" s="29"/>
      <c r="Z154" s="29"/>
      <c r="AA154" s="29"/>
      <c r="AB154" s="29"/>
      <c r="AC154" s="29"/>
      <c r="AD154" s="29"/>
      <c r="AE154" s="29"/>
      <c r="AF154" s="29"/>
      <c r="AG154" s="29"/>
      <c r="AH154" s="29"/>
      <c r="AI154" s="29"/>
      <c r="AJ154" s="29"/>
      <c r="AK154" s="29"/>
      <c r="AL154" s="29"/>
      <c r="AM154" s="29"/>
      <c r="AN154" s="29"/>
    </row>
    <row r="155" spans="1:40" ht="14.4" customHeight="1">
      <c r="A155" s="355" t="str">
        <f>'Data Worksheet'!A207</f>
        <v>Fleet equipment replacement</v>
      </c>
      <c r="B155" s="359"/>
      <c r="C155" s="359"/>
      <c r="D155" s="219">
        <f>'Data Worksheet'!C207</f>
        <v>0</v>
      </c>
      <c r="E155" s="219">
        <f>'Data Worksheet'!D207</f>
        <v>0</v>
      </c>
      <c r="F155" s="219">
        <f>'Data Worksheet'!E207</f>
        <v>0</v>
      </c>
      <c r="G155" s="219">
        <f>'Data Worksheet'!F207</f>
        <v>0.09</v>
      </c>
      <c r="H155" s="219">
        <f>'Data Worksheet'!G207</f>
        <v>9.2700000000000005E-2</v>
      </c>
      <c r="I155" s="219">
        <f>'Data Worksheet'!H207</f>
        <v>9.548100000000001E-2</v>
      </c>
      <c r="J155" s="219">
        <f>'Data Worksheet'!I207</f>
        <v>9.8345430000000011E-2</v>
      </c>
      <c r="K155" s="219">
        <f>'Data Worksheet'!J207</f>
        <v>0.10129579290000001</v>
      </c>
      <c r="L155" s="219">
        <f>'Data Worksheet'!K207</f>
        <v>0.10433466668700002</v>
      </c>
      <c r="M155" s="248">
        <f>'Data Worksheet'!L207</f>
        <v>0.10746470668761002</v>
      </c>
      <c r="N155" s="29"/>
      <c r="O155" s="29"/>
      <c r="P155" s="29"/>
      <c r="Q155" s="29"/>
      <c r="R155" s="328"/>
      <c r="S155" s="29"/>
      <c r="T155" s="29"/>
      <c r="U155" s="29"/>
      <c r="V155" s="29"/>
      <c r="W155" s="29"/>
      <c r="X155" s="29"/>
      <c r="Y155" s="29"/>
      <c r="Z155" s="29"/>
      <c r="AA155" s="29"/>
      <c r="AB155" s="29"/>
      <c r="AC155" s="29"/>
      <c r="AD155" s="29"/>
      <c r="AE155" s="29"/>
      <c r="AF155" s="29"/>
      <c r="AG155" s="29"/>
      <c r="AH155" s="29"/>
      <c r="AI155" s="29"/>
      <c r="AJ155" s="29"/>
      <c r="AK155" s="29"/>
      <c r="AL155" s="29"/>
      <c r="AM155" s="29"/>
      <c r="AN155" s="29"/>
    </row>
    <row r="156" spans="1:40" ht="14.4" customHeight="1">
      <c r="A156" s="355" t="str">
        <f>'Data Worksheet'!A208</f>
        <v>Juanita Drive and 68th Ave</v>
      </c>
      <c r="B156" s="359"/>
      <c r="C156" s="359"/>
      <c r="D156" s="219">
        <f>'Data Worksheet'!C208</f>
        <v>0</v>
      </c>
      <c r="E156" s="219">
        <f>'Data Worksheet'!D208</f>
        <v>0</v>
      </c>
      <c r="F156" s="219">
        <f>'Data Worksheet'!E208</f>
        <v>0</v>
      </c>
      <c r="G156" s="219">
        <f>'Data Worksheet'!F208</f>
        <v>0</v>
      </c>
      <c r="H156" s="219">
        <f>'Data Worksheet'!G208</f>
        <v>8.7999999999999995E-2</v>
      </c>
      <c r="I156" s="219">
        <f>'Data Worksheet'!H208</f>
        <v>9.0639999999999998E-2</v>
      </c>
      <c r="J156" s="219">
        <f>'Data Worksheet'!I208</f>
        <v>9.3359200000000003E-2</v>
      </c>
      <c r="K156" s="219">
        <f>'Data Worksheet'!J208</f>
        <v>9.6159976000000008E-2</v>
      </c>
      <c r="L156" s="219">
        <f>'Data Worksheet'!K208</f>
        <v>9.9044775280000011E-2</v>
      </c>
      <c r="M156" s="248">
        <f>'Data Worksheet'!L208</f>
        <v>0.10201611853840001</v>
      </c>
      <c r="N156" s="29"/>
      <c r="O156" s="29"/>
      <c r="P156" s="29"/>
      <c r="Q156" s="29"/>
      <c r="R156" s="328"/>
      <c r="S156" s="29"/>
      <c r="T156" s="29"/>
      <c r="U156" s="29"/>
      <c r="V156" s="29"/>
      <c r="W156" s="29"/>
      <c r="X156" s="29"/>
      <c r="Y156" s="29"/>
      <c r="Z156" s="29"/>
      <c r="AA156" s="29"/>
      <c r="AB156" s="29"/>
      <c r="AC156" s="29"/>
      <c r="AD156" s="29"/>
      <c r="AE156" s="29"/>
      <c r="AF156" s="29"/>
      <c r="AG156" s="29"/>
      <c r="AH156" s="29"/>
      <c r="AI156" s="29"/>
      <c r="AJ156" s="29"/>
      <c r="AK156" s="29"/>
      <c r="AL156" s="29"/>
      <c r="AM156" s="29"/>
      <c r="AN156" s="29"/>
    </row>
    <row r="157" spans="1:40" ht="14.4" customHeight="1" thickBot="1">
      <c r="A157" s="357" t="str">
        <f>'Data Worksheet'!A209</f>
        <v>Log Boom and Squire's Landing</v>
      </c>
      <c r="B157" s="360"/>
      <c r="C157" s="360"/>
      <c r="D157" s="249">
        <f>'Data Worksheet'!C209</f>
        <v>0</v>
      </c>
      <c r="E157" s="249">
        <f>'Data Worksheet'!D209</f>
        <v>0</v>
      </c>
      <c r="F157" s="249">
        <f>'Data Worksheet'!E209</f>
        <v>0</v>
      </c>
      <c r="G157" s="249">
        <f>'Data Worksheet'!F209</f>
        <v>0</v>
      </c>
      <c r="H157" s="249">
        <f>'Data Worksheet'!G209</f>
        <v>0</v>
      </c>
      <c r="I157" s="249">
        <f>'Data Worksheet'!H209</f>
        <v>0.27589999999999998</v>
      </c>
      <c r="J157" s="249">
        <f>'Data Worksheet'!I209</f>
        <v>0.23100000000000001</v>
      </c>
      <c r="K157" s="249">
        <f>'Data Worksheet'!J209</f>
        <v>0.23793000000000003</v>
      </c>
      <c r="L157" s="249">
        <f>'Data Worksheet'!K209</f>
        <v>0.24506790000000003</v>
      </c>
      <c r="M157" s="250">
        <f>'Data Worksheet'!L209</f>
        <v>0.25241993700000004</v>
      </c>
      <c r="N157" s="29"/>
      <c r="O157" s="29"/>
      <c r="P157" s="29"/>
      <c r="Q157" s="29"/>
      <c r="R157" s="328"/>
      <c r="S157" s="29"/>
      <c r="T157" s="29"/>
      <c r="U157" s="29"/>
      <c r="V157" s="29"/>
      <c r="W157" s="29"/>
      <c r="X157" s="29"/>
      <c r="Y157" s="29"/>
      <c r="Z157" s="29"/>
      <c r="AA157" s="29"/>
      <c r="AB157" s="29"/>
      <c r="AC157" s="29"/>
      <c r="AD157" s="29"/>
      <c r="AE157" s="29"/>
      <c r="AF157" s="29"/>
      <c r="AG157" s="29"/>
      <c r="AH157" s="29"/>
      <c r="AI157" s="29"/>
      <c r="AJ157" s="29"/>
      <c r="AK157" s="29"/>
      <c r="AL157" s="29"/>
      <c r="AM157" s="29"/>
      <c r="AN157" s="29"/>
    </row>
    <row r="158" spans="1:40" ht="14.4" customHeight="1">
      <c r="A158" s="244"/>
      <c r="B158" s="244" t="s">
        <v>192</v>
      </c>
      <c r="C158" s="244"/>
      <c r="D158" s="251">
        <f>SUM(D153:D157)</f>
        <v>0</v>
      </c>
      <c r="E158" s="251">
        <f t="shared" ref="E158" si="23">SUM(E153:E157)</f>
        <v>0</v>
      </c>
      <c r="F158" s="251">
        <f t="shared" ref="F158" si="24">SUM(F153:F157)</f>
        <v>0</v>
      </c>
      <c r="G158" s="251">
        <f t="shared" ref="G158" si="25">SUM(G153:G157)</f>
        <v>0.82004999999999995</v>
      </c>
      <c r="H158" s="251">
        <f t="shared" ref="H158" si="26">SUM(H153:H157)</f>
        <v>0.92264279999999999</v>
      </c>
      <c r="I158" s="251">
        <f t="shared" ref="I158" si="27">SUM(I153:I157)</f>
        <v>1.216094456</v>
      </c>
      <c r="J158" s="251">
        <f t="shared" ref="J158" si="28">SUM(J153:J157)</f>
        <v>1.1891513551199999</v>
      </c>
      <c r="K158" s="251">
        <f t="shared" ref="K158" si="29">SUM(K153:K157)</f>
        <v>1.2144532285224001</v>
      </c>
      <c r="L158" s="251">
        <f t="shared" ref="L158" si="30">SUM(L153:L157)</f>
        <v>1.240387950781848</v>
      </c>
      <c r="M158" s="251">
        <f t="shared" ref="M158" si="31">SUM(M153:M157)</f>
        <v>1.2669719832171549</v>
      </c>
      <c r="N158" s="29"/>
      <c r="O158" s="29"/>
      <c r="P158" s="29"/>
      <c r="Q158" s="29"/>
      <c r="R158" s="328"/>
      <c r="S158" s="29"/>
      <c r="T158" s="29"/>
      <c r="U158" s="29"/>
      <c r="V158" s="29"/>
      <c r="W158" s="29"/>
      <c r="X158" s="29"/>
      <c r="Y158" s="29"/>
      <c r="Z158" s="29"/>
      <c r="AA158" s="29"/>
      <c r="AB158" s="29"/>
      <c r="AC158" s="29"/>
      <c r="AD158" s="29"/>
      <c r="AE158" s="29"/>
      <c r="AF158" s="29"/>
      <c r="AG158" s="29"/>
      <c r="AH158" s="29"/>
      <c r="AI158" s="29"/>
      <c r="AJ158" s="29"/>
      <c r="AK158" s="29"/>
      <c r="AL158" s="29"/>
      <c r="AM158" s="29"/>
      <c r="AN158" s="29"/>
    </row>
    <row r="159" spans="1:40" ht="14.4" customHeight="1">
      <c r="A159" s="29"/>
      <c r="B159" s="29"/>
      <c r="C159" s="29"/>
      <c r="D159" s="252" t="str">
        <f>IF(Capital_Growth_Option=1,IF(D158&lt;&gt;J104,"Unequal","Equal"),"")</f>
        <v>Unequal</v>
      </c>
      <c r="E159" s="252" t="str">
        <f>IF(Capital_Growth_Option=1,IF(E158&lt;&gt;K104,"Unequal","Equal"),"")</f>
        <v>Unequal</v>
      </c>
      <c r="F159" s="252" t="str">
        <f>IF(Capital_Growth_Option=1,IF(F158&lt;&gt;L104,"Unequal","Equal"),"")</f>
        <v>Unequal</v>
      </c>
      <c r="G159" s="252" t="str">
        <f>IF(Capital_Growth_Option=1,IF(G158&lt;&gt;M104,"Unequal","Equal"),"")</f>
        <v>Unequal</v>
      </c>
      <c r="H159" s="251"/>
      <c r="I159" s="251"/>
      <c r="J159" s="251"/>
      <c r="K159" s="251"/>
      <c r="L159" s="251"/>
      <c r="M159" s="251"/>
      <c r="N159" s="29"/>
      <c r="O159" s="29"/>
      <c r="P159" s="29"/>
      <c r="Q159" s="29"/>
      <c r="R159" s="328"/>
      <c r="S159" s="29"/>
      <c r="T159" s="29"/>
      <c r="U159" s="29"/>
      <c r="V159" s="29"/>
      <c r="W159" s="29"/>
      <c r="X159" s="29"/>
      <c r="Y159" s="29"/>
      <c r="Z159" s="29"/>
      <c r="AA159" s="29"/>
      <c r="AB159" s="29"/>
      <c r="AC159" s="29"/>
      <c r="AD159" s="29"/>
      <c r="AE159" s="29"/>
      <c r="AF159" s="29"/>
      <c r="AG159" s="29"/>
      <c r="AH159" s="29"/>
      <c r="AI159" s="29"/>
      <c r="AJ159" s="29"/>
      <c r="AK159" s="29"/>
      <c r="AL159" s="29"/>
      <c r="AM159" s="29"/>
      <c r="AN159" s="29"/>
    </row>
    <row r="160" spans="1:40" ht="14.4" customHeight="1" thickBot="1">
      <c r="A160" s="99" t="s">
        <v>302</v>
      </c>
      <c r="B160" s="29"/>
      <c r="C160" s="29"/>
      <c r="D160" s="247" t="s">
        <v>307</v>
      </c>
      <c r="E160" s="244"/>
      <c r="F160" s="247"/>
      <c r="G160" s="253"/>
      <c r="H160" s="244"/>
      <c r="I160" s="244"/>
      <c r="J160" s="244"/>
      <c r="K160" s="244"/>
      <c r="L160" s="244"/>
      <c r="M160" s="244"/>
      <c r="N160" s="29"/>
      <c r="O160" s="29"/>
      <c r="P160" s="29"/>
      <c r="Q160" s="29"/>
      <c r="R160" s="328"/>
      <c r="S160" s="29"/>
      <c r="T160" s="29"/>
      <c r="U160" s="29"/>
      <c r="V160" s="29"/>
      <c r="W160" s="29"/>
      <c r="X160" s="29"/>
      <c r="Y160" s="29"/>
      <c r="Z160" s="29"/>
      <c r="AA160" s="29"/>
      <c r="AB160" s="29"/>
      <c r="AC160" s="29"/>
      <c r="AD160" s="29"/>
      <c r="AE160" s="29"/>
      <c r="AF160" s="29"/>
      <c r="AG160" s="29"/>
      <c r="AH160" s="29"/>
      <c r="AI160" s="29"/>
      <c r="AJ160" s="29"/>
      <c r="AK160" s="29"/>
      <c r="AL160" s="29"/>
      <c r="AM160" s="29"/>
      <c r="AN160" s="29"/>
    </row>
    <row r="161" spans="1:40" ht="14.4" customHeight="1">
      <c r="A161" s="361" t="s">
        <v>178</v>
      </c>
      <c r="B161" s="362"/>
      <c r="C161" s="362"/>
      <c r="D161" s="245" t="s">
        <v>367</v>
      </c>
      <c r="E161" s="245" t="s">
        <v>368</v>
      </c>
      <c r="F161" s="245" t="s">
        <v>361</v>
      </c>
      <c r="G161" s="245" t="s">
        <v>362</v>
      </c>
      <c r="H161" s="245" t="s">
        <v>363</v>
      </c>
      <c r="I161" s="245" t="s">
        <v>364</v>
      </c>
      <c r="J161" s="245" t="s">
        <v>365</v>
      </c>
      <c r="K161" s="245" t="s">
        <v>366</v>
      </c>
      <c r="L161" s="245" t="s">
        <v>370</v>
      </c>
      <c r="M161" s="246" t="s">
        <v>371</v>
      </c>
      <c r="N161" s="29"/>
      <c r="O161" s="29"/>
      <c r="P161" s="29"/>
      <c r="Q161" s="29"/>
      <c r="R161" s="3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row>
    <row r="162" spans="1:40" ht="14.4" customHeight="1">
      <c r="A162" s="355" t="str">
        <f>'Data Worksheet'!A215</f>
        <v>Item 1</v>
      </c>
      <c r="B162" s="359"/>
      <c r="C162" s="359"/>
      <c r="D162" s="214">
        <f>'Data Worksheet'!C215</f>
        <v>0</v>
      </c>
      <c r="E162" s="214">
        <f>'Data Worksheet'!D215</f>
        <v>0</v>
      </c>
      <c r="F162" s="214">
        <f>'Data Worksheet'!E215</f>
        <v>0</v>
      </c>
      <c r="G162" s="214">
        <f>'Data Worksheet'!F215</f>
        <v>0</v>
      </c>
      <c r="H162" s="214">
        <f>'Data Worksheet'!G215</f>
        <v>0</v>
      </c>
      <c r="I162" s="214">
        <f>'Data Worksheet'!H215</f>
        <v>0</v>
      </c>
      <c r="J162" s="214">
        <f>'Data Worksheet'!I215</f>
        <v>0</v>
      </c>
      <c r="K162" s="214">
        <f>'Data Worksheet'!J215</f>
        <v>0</v>
      </c>
      <c r="L162" s="214">
        <f>'Data Worksheet'!K215</f>
        <v>0</v>
      </c>
      <c r="M162" s="221">
        <f>'Data Worksheet'!L215</f>
        <v>0</v>
      </c>
      <c r="N162" s="29"/>
      <c r="O162" s="29"/>
      <c r="P162" s="29"/>
      <c r="Q162" s="29"/>
      <c r="R162" s="328"/>
      <c r="S162" s="29"/>
      <c r="T162" s="29"/>
      <c r="U162" s="29"/>
      <c r="V162" s="29"/>
      <c r="W162" s="29"/>
      <c r="X162" s="29"/>
      <c r="Y162" s="29"/>
      <c r="Z162" s="29"/>
      <c r="AA162" s="29"/>
      <c r="AB162" s="29"/>
      <c r="AC162" s="29"/>
      <c r="AD162" s="29"/>
      <c r="AE162" s="29"/>
      <c r="AF162" s="29"/>
      <c r="AG162" s="29"/>
      <c r="AH162" s="29"/>
      <c r="AI162" s="29"/>
      <c r="AJ162" s="29"/>
      <c r="AK162" s="29"/>
      <c r="AL162" s="29"/>
      <c r="AM162" s="29"/>
      <c r="AN162" s="29"/>
    </row>
    <row r="163" spans="1:40" ht="14.4" customHeight="1">
      <c r="A163" s="355" t="str">
        <f>'Data Worksheet'!A216</f>
        <v>item 2</v>
      </c>
      <c r="B163" s="359"/>
      <c r="C163" s="359"/>
      <c r="D163" s="214">
        <f>'Data Worksheet'!C216</f>
        <v>0</v>
      </c>
      <c r="E163" s="214">
        <f>'Data Worksheet'!D216</f>
        <v>0</v>
      </c>
      <c r="F163" s="214">
        <f>'Data Worksheet'!E216</f>
        <v>0</v>
      </c>
      <c r="G163" s="214">
        <f>'Data Worksheet'!F216</f>
        <v>0</v>
      </c>
      <c r="H163" s="214">
        <f>'Data Worksheet'!G216</f>
        <v>0</v>
      </c>
      <c r="I163" s="214">
        <f>'Data Worksheet'!H216</f>
        <v>0</v>
      </c>
      <c r="J163" s="214">
        <f>'Data Worksheet'!I216</f>
        <v>0</v>
      </c>
      <c r="K163" s="214">
        <f>'Data Worksheet'!J216</f>
        <v>0</v>
      </c>
      <c r="L163" s="214">
        <f>'Data Worksheet'!K216</f>
        <v>0</v>
      </c>
      <c r="M163" s="221">
        <f>'Data Worksheet'!L216</f>
        <v>0</v>
      </c>
      <c r="N163" s="29"/>
      <c r="O163" s="29"/>
      <c r="P163" s="29"/>
      <c r="Q163" s="29"/>
      <c r="R163" s="328"/>
      <c r="S163" s="29"/>
      <c r="T163" s="29"/>
      <c r="U163" s="29"/>
      <c r="V163" s="29"/>
      <c r="W163" s="29"/>
      <c r="X163" s="29"/>
      <c r="Y163" s="29"/>
      <c r="Z163" s="29"/>
      <c r="AA163" s="29"/>
      <c r="AB163" s="29"/>
      <c r="AC163" s="29"/>
      <c r="AD163" s="29"/>
      <c r="AE163" s="29"/>
      <c r="AF163" s="29"/>
      <c r="AG163" s="29"/>
      <c r="AH163" s="29"/>
      <c r="AI163" s="29"/>
      <c r="AJ163" s="29"/>
      <c r="AK163" s="29"/>
      <c r="AL163" s="29"/>
      <c r="AM163" s="29"/>
      <c r="AN163" s="29"/>
    </row>
    <row r="164" spans="1:40" ht="14.4" customHeight="1">
      <c r="A164" s="355" t="str">
        <f>'Data Worksheet'!A217</f>
        <v>item 3</v>
      </c>
      <c r="B164" s="359"/>
      <c r="C164" s="359"/>
      <c r="D164" s="214">
        <f>'Data Worksheet'!C217</f>
        <v>0</v>
      </c>
      <c r="E164" s="214">
        <f>'Data Worksheet'!D217</f>
        <v>0</v>
      </c>
      <c r="F164" s="214">
        <f>'Data Worksheet'!E217</f>
        <v>0</v>
      </c>
      <c r="G164" s="214">
        <f>'Data Worksheet'!F217</f>
        <v>0</v>
      </c>
      <c r="H164" s="214">
        <f>'Data Worksheet'!G217</f>
        <v>0</v>
      </c>
      <c r="I164" s="214">
        <f>'Data Worksheet'!H217</f>
        <v>0</v>
      </c>
      <c r="J164" s="214">
        <f>'Data Worksheet'!I217</f>
        <v>0</v>
      </c>
      <c r="K164" s="214">
        <f>'Data Worksheet'!J217</f>
        <v>0</v>
      </c>
      <c r="L164" s="214">
        <f>'Data Worksheet'!K217</f>
        <v>0</v>
      </c>
      <c r="M164" s="221">
        <f>'Data Worksheet'!L217</f>
        <v>0</v>
      </c>
      <c r="N164" s="29"/>
      <c r="O164" s="29"/>
      <c r="P164" s="29"/>
      <c r="Q164" s="29"/>
      <c r="R164" s="328"/>
      <c r="S164" s="29"/>
      <c r="T164" s="29"/>
      <c r="U164" s="29"/>
      <c r="V164" s="29"/>
      <c r="W164" s="29"/>
      <c r="X164" s="29"/>
      <c r="Y164" s="29"/>
      <c r="Z164" s="29"/>
      <c r="AA164" s="29"/>
      <c r="AB164" s="29"/>
      <c r="AC164" s="29"/>
      <c r="AD164" s="29"/>
      <c r="AE164" s="29"/>
      <c r="AF164" s="29"/>
      <c r="AG164" s="29"/>
      <c r="AH164" s="29"/>
      <c r="AI164" s="29"/>
      <c r="AJ164" s="29"/>
      <c r="AK164" s="29"/>
      <c r="AL164" s="29"/>
      <c r="AM164" s="29"/>
      <c r="AN164" s="29"/>
    </row>
    <row r="165" spans="1:40" ht="14.4" customHeight="1">
      <c r="A165" s="355" t="str">
        <f>'Data Worksheet'!A218</f>
        <v>item 4</v>
      </c>
      <c r="B165" s="359"/>
      <c r="C165" s="359"/>
      <c r="D165" s="214">
        <f>'Data Worksheet'!C218</f>
        <v>0</v>
      </c>
      <c r="E165" s="214">
        <f>'Data Worksheet'!D218</f>
        <v>0</v>
      </c>
      <c r="F165" s="214">
        <f>'Data Worksheet'!E218</f>
        <v>0</v>
      </c>
      <c r="G165" s="214">
        <f>'Data Worksheet'!F218</f>
        <v>0</v>
      </c>
      <c r="H165" s="214">
        <f>'Data Worksheet'!G218</f>
        <v>0</v>
      </c>
      <c r="I165" s="214">
        <f>'Data Worksheet'!H218</f>
        <v>0</v>
      </c>
      <c r="J165" s="214">
        <f>'Data Worksheet'!I218</f>
        <v>0</v>
      </c>
      <c r="K165" s="214">
        <f>'Data Worksheet'!J218</f>
        <v>0</v>
      </c>
      <c r="L165" s="214">
        <f>'Data Worksheet'!K218</f>
        <v>0</v>
      </c>
      <c r="M165" s="221">
        <f>'Data Worksheet'!L218</f>
        <v>0</v>
      </c>
      <c r="N165" s="29"/>
      <c r="O165" s="29"/>
      <c r="P165" s="29"/>
      <c r="Q165" s="29"/>
      <c r="R165" s="328"/>
      <c r="S165" s="29"/>
      <c r="T165" s="29"/>
      <c r="U165" s="29"/>
      <c r="V165" s="29"/>
      <c r="W165" s="29"/>
      <c r="X165" s="29"/>
      <c r="Y165" s="29"/>
      <c r="Z165" s="29"/>
      <c r="AA165" s="29"/>
      <c r="AB165" s="29"/>
      <c r="AC165" s="29"/>
      <c r="AD165" s="29"/>
      <c r="AE165" s="29"/>
      <c r="AF165" s="29"/>
      <c r="AG165" s="29"/>
      <c r="AH165" s="29"/>
      <c r="AI165" s="29"/>
      <c r="AJ165" s="29"/>
      <c r="AK165" s="29"/>
      <c r="AL165" s="29"/>
      <c r="AM165" s="29"/>
      <c r="AN165" s="29"/>
    </row>
    <row r="166" spans="1:40" ht="14.4" customHeight="1">
      <c r="A166" s="355" t="str">
        <f>'Data Worksheet'!A219</f>
        <v>item 5</v>
      </c>
      <c r="B166" s="359"/>
      <c r="C166" s="359"/>
      <c r="D166" s="214">
        <f>'Data Worksheet'!C219</f>
        <v>0</v>
      </c>
      <c r="E166" s="214">
        <f>'Data Worksheet'!D219</f>
        <v>0</v>
      </c>
      <c r="F166" s="214">
        <f>'Data Worksheet'!E219</f>
        <v>0</v>
      </c>
      <c r="G166" s="214">
        <f>'Data Worksheet'!F219</f>
        <v>0</v>
      </c>
      <c r="H166" s="214">
        <f>'Data Worksheet'!G219</f>
        <v>0</v>
      </c>
      <c r="I166" s="214">
        <f>'Data Worksheet'!H219</f>
        <v>0</v>
      </c>
      <c r="J166" s="214">
        <f>'Data Worksheet'!I219</f>
        <v>0</v>
      </c>
      <c r="K166" s="214">
        <f>'Data Worksheet'!J219</f>
        <v>0</v>
      </c>
      <c r="L166" s="214">
        <f>'Data Worksheet'!K219</f>
        <v>0</v>
      </c>
      <c r="M166" s="221">
        <f>'Data Worksheet'!L219</f>
        <v>0</v>
      </c>
      <c r="N166" s="29"/>
      <c r="O166" s="29"/>
      <c r="P166" s="29"/>
      <c r="Q166" s="29"/>
      <c r="R166" s="32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row>
    <row r="167" spans="1:40" ht="14.4" customHeight="1">
      <c r="A167" s="355" t="str">
        <f>'Data Worksheet'!A220</f>
        <v>item 6</v>
      </c>
      <c r="B167" s="359"/>
      <c r="C167" s="359"/>
      <c r="D167" s="214">
        <f>'Data Worksheet'!C220</f>
        <v>0</v>
      </c>
      <c r="E167" s="214">
        <f>'Data Worksheet'!D220</f>
        <v>0</v>
      </c>
      <c r="F167" s="214">
        <f>'Data Worksheet'!E220</f>
        <v>0</v>
      </c>
      <c r="G167" s="214">
        <f>'Data Worksheet'!F220</f>
        <v>0</v>
      </c>
      <c r="H167" s="214">
        <f>'Data Worksheet'!G220</f>
        <v>0</v>
      </c>
      <c r="I167" s="214">
        <f>'Data Worksheet'!H220</f>
        <v>0</v>
      </c>
      <c r="J167" s="214">
        <f>'Data Worksheet'!I220</f>
        <v>0</v>
      </c>
      <c r="K167" s="214">
        <f>'Data Worksheet'!J220</f>
        <v>0</v>
      </c>
      <c r="L167" s="214">
        <f>'Data Worksheet'!K220</f>
        <v>0</v>
      </c>
      <c r="M167" s="221">
        <f>'Data Worksheet'!L220</f>
        <v>0</v>
      </c>
      <c r="N167" s="29"/>
      <c r="O167" s="29"/>
      <c r="P167" s="29"/>
      <c r="Q167" s="29"/>
      <c r="R167" s="32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row>
    <row r="168" spans="1:40" ht="14.4" customHeight="1" thickBot="1">
      <c r="A168" s="357" t="str">
        <f>'Data Worksheet'!A221</f>
        <v>Other</v>
      </c>
      <c r="B168" s="360"/>
      <c r="C168" s="360"/>
      <c r="D168" s="254">
        <f>'Data Worksheet'!C221</f>
        <v>0</v>
      </c>
      <c r="E168" s="254">
        <f>'Data Worksheet'!D221</f>
        <v>0</v>
      </c>
      <c r="F168" s="254">
        <f>'Data Worksheet'!E221</f>
        <v>0</v>
      </c>
      <c r="G168" s="254">
        <f>'Data Worksheet'!F221</f>
        <v>0</v>
      </c>
      <c r="H168" s="254">
        <f>'Data Worksheet'!G221</f>
        <v>0</v>
      </c>
      <c r="I168" s="254">
        <f>'Data Worksheet'!H221</f>
        <v>0</v>
      </c>
      <c r="J168" s="254">
        <f>'Data Worksheet'!I221</f>
        <v>0</v>
      </c>
      <c r="K168" s="254">
        <f>'Data Worksheet'!J221</f>
        <v>0</v>
      </c>
      <c r="L168" s="254">
        <f>'Data Worksheet'!K221</f>
        <v>0</v>
      </c>
      <c r="M168" s="255">
        <f>'Data Worksheet'!L221</f>
        <v>0</v>
      </c>
      <c r="N168" s="29"/>
      <c r="O168" s="29"/>
      <c r="P168" s="29"/>
      <c r="Q168" s="29"/>
      <c r="R168" s="328"/>
      <c r="S168" s="29"/>
      <c r="T168" s="29"/>
      <c r="U168" s="29"/>
      <c r="V168" s="29"/>
      <c r="W168" s="29"/>
      <c r="X168" s="29"/>
      <c r="Y168" s="29"/>
      <c r="Z168" s="29"/>
      <c r="AA168" s="29"/>
      <c r="AB168" s="29"/>
      <c r="AC168" s="29"/>
      <c r="AD168" s="29"/>
      <c r="AE168" s="29"/>
      <c r="AF168" s="29"/>
      <c r="AG168" s="29"/>
      <c r="AH168" s="29"/>
      <c r="AI168" s="29"/>
      <c r="AJ168" s="29"/>
      <c r="AK168" s="29"/>
      <c r="AL168" s="29"/>
      <c r="AM168" s="29"/>
      <c r="AN168" s="29"/>
    </row>
    <row r="169" spans="1:40" ht="14.4" customHeight="1">
      <c r="A169" s="244"/>
      <c r="B169" s="244" t="s">
        <v>192</v>
      </c>
      <c r="C169" s="244"/>
      <c r="D169" s="256">
        <f>SUM(D162:D168)</f>
        <v>0</v>
      </c>
      <c r="E169" s="256">
        <f t="shared" ref="E169:M169" si="32">SUM(E162:E168)</f>
        <v>0</v>
      </c>
      <c r="F169" s="256">
        <f t="shared" si="32"/>
        <v>0</v>
      </c>
      <c r="G169" s="256">
        <f t="shared" si="32"/>
        <v>0</v>
      </c>
      <c r="H169" s="256">
        <f t="shared" si="32"/>
        <v>0</v>
      </c>
      <c r="I169" s="256">
        <f t="shared" si="32"/>
        <v>0</v>
      </c>
      <c r="J169" s="256">
        <f t="shared" si="32"/>
        <v>0</v>
      </c>
      <c r="K169" s="256">
        <f t="shared" si="32"/>
        <v>0</v>
      </c>
      <c r="L169" s="256">
        <f t="shared" si="32"/>
        <v>0</v>
      </c>
      <c r="M169" s="256">
        <f t="shared" si="32"/>
        <v>0</v>
      </c>
      <c r="N169" s="29"/>
      <c r="O169" s="29"/>
      <c r="P169" s="29"/>
      <c r="Q169" s="29"/>
      <c r="R169" s="328"/>
      <c r="S169" s="29"/>
      <c r="T169" s="29"/>
      <c r="U169" s="29"/>
      <c r="V169" s="29"/>
      <c r="W169" s="29"/>
      <c r="X169" s="29"/>
      <c r="Y169" s="29"/>
      <c r="Z169" s="29"/>
      <c r="AA169" s="29"/>
      <c r="AB169" s="29"/>
      <c r="AC169" s="29"/>
      <c r="AD169" s="29"/>
      <c r="AE169" s="29"/>
      <c r="AF169" s="29"/>
      <c r="AG169" s="29"/>
      <c r="AH169" s="29"/>
      <c r="AI169" s="29"/>
      <c r="AJ169" s="29"/>
      <c r="AK169" s="29"/>
      <c r="AL169" s="29"/>
      <c r="AM169" s="29"/>
      <c r="AN169" s="29"/>
    </row>
    <row r="170" spans="1:40" ht="14.4" customHeight="1">
      <c r="A170" s="29"/>
      <c r="B170" s="29"/>
      <c r="C170" s="29"/>
      <c r="D170" s="252" t="str">
        <f>IF(Other_Transfers_Growth_Option=1,IF(D169&lt;&gt;J105,"Unequal","Equal"),"")</f>
        <v>Equal</v>
      </c>
      <c r="E170" s="252" t="str">
        <f>IF(Other_Transfers_Growth_Option=1,IF(E169&lt;&gt;K105,"Unequal","Equal"),"")</f>
        <v>Equal</v>
      </c>
      <c r="F170" s="252" t="str">
        <f>IF(Other_Transfers_Growth_Option=1,IF(F169&lt;&gt;L105,"Unequal","Equal"),"")</f>
        <v>Equal</v>
      </c>
      <c r="G170" s="252" t="str">
        <f>IF(Other_Transfers_Growth_Option=1,IF(G169&lt;&gt;M105,"Unequal","Equal"),"")</f>
        <v>Equal</v>
      </c>
      <c r="H170" s="251"/>
      <c r="I170" s="251"/>
      <c r="J170" s="251"/>
      <c r="K170" s="251"/>
      <c r="L170" s="251"/>
      <c r="M170" s="251"/>
      <c r="N170" s="29"/>
      <c r="O170" s="29"/>
      <c r="P170" s="29"/>
      <c r="Q170" s="29"/>
      <c r="R170" s="328"/>
      <c r="S170" s="29"/>
      <c r="T170" s="29"/>
      <c r="U170" s="29"/>
      <c r="V170" s="29"/>
      <c r="W170" s="29"/>
      <c r="X170" s="29"/>
      <c r="Y170" s="29"/>
      <c r="Z170" s="29"/>
      <c r="AA170" s="29"/>
      <c r="AB170" s="29"/>
      <c r="AC170" s="29"/>
      <c r="AD170" s="29"/>
      <c r="AE170" s="29"/>
      <c r="AF170" s="29"/>
      <c r="AG170" s="29"/>
      <c r="AH170" s="29"/>
      <c r="AI170" s="29"/>
      <c r="AJ170" s="29"/>
      <c r="AK170" s="29"/>
      <c r="AL170" s="29"/>
      <c r="AM170" s="29"/>
      <c r="AN170" s="29"/>
    </row>
    <row r="171" spans="1:40" ht="14.4" customHeight="1">
      <c r="A171" s="29"/>
      <c r="B171" s="29"/>
      <c r="C171" s="29"/>
      <c r="D171" s="252"/>
      <c r="E171" s="252"/>
      <c r="F171" s="252"/>
      <c r="G171" s="252"/>
      <c r="H171" s="251"/>
      <c r="I171" s="251"/>
      <c r="J171" s="251"/>
      <c r="K171" s="251"/>
      <c r="L171" s="251"/>
      <c r="M171" s="251"/>
      <c r="N171" s="29"/>
      <c r="O171" s="29"/>
      <c r="P171" s="29"/>
      <c r="Q171" s="29"/>
      <c r="R171" s="328"/>
      <c r="S171" s="29"/>
      <c r="T171" s="29"/>
      <c r="U171" s="29"/>
      <c r="V171" s="29"/>
      <c r="W171" s="29"/>
      <c r="X171" s="29"/>
      <c r="Y171" s="29"/>
      <c r="Z171" s="29"/>
      <c r="AA171" s="29"/>
      <c r="AB171" s="29"/>
      <c r="AC171" s="29"/>
      <c r="AD171" s="29"/>
      <c r="AE171" s="29"/>
      <c r="AF171" s="29"/>
      <c r="AG171" s="29"/>
      <c r="AH171" s="29"/>
      <c r="AI171" s="29"/>
      <c r="AJ171" s="29"/>
      <c r="AK171" s="29"/>
      <c r="AL171" s="29"/>
      <c r="AM171" s="29"/>
      <c r="AN171" s="29"/>
    </row>
    <row r="172" spans="1:40" ht="14.4" customHeight="1" thickBot="1">
      <c r="A172" s="174" t="s">
        <v>309</v>
      </c>
      <c r="B172" s="29"/>
      <c r="C172" s="29"/>
      <c r="D172" s="253" t="s">
        <v>122</v>
      </c>
      <c r="E172" s="244"/>
      <c r="F172" s="244"/>
      <c r="G172" s="244"/>
      <c r="H172" s="244"/>
      <c r="I172" s="244"/>
      <c r="J172" s="244"/>
      <c r="K172" s="244"/>
      <c r="L172" s="244"/>
      <c r="M172" s="244"/>
      <c r="N172" s="29"/>
      <c r="O172" s="29"/>
      <c r="P172" s="29"/>
      <c r="Q172" s="29"/>
      <c r="R172" s="328"/>
      <c r="S172" s="29"/>
      <c r="T172" s="29"/>
      <c r="U172" s="29"/>
      <c r="V172" s="29"/>
      <c r="W172" s="29"/>
      <c r="X172" s="29"/>
      <c r="Y172" s="29"/>
      <c r="Z172" s="29"/>
      <c r="AA172" s="29"/>
      <c r="AB172" s="29"/>
      <c r="AC172" s="29"/>
      <c r="AD172" s="29"/>
      <c r="AE172" s="29"/>
      <c r="AF172" s="29"/>
      <c r="AG172" s="29"/>
      <c r="AH172" s="29"/>
      <c r="AI172" s="29"/>
      <c r="AJ172" s="29"/>
      <c r="AK172" s="29"/>
      <c r="AL172" s="29"/>
      <c r="AM172" s="29"/>
      <c r="AN172" s="29"/>
    </row>
    <row r="173" spans="1:40" ht="14.4" customHeight="1">
      <c r="A173" s="175" t="s">
        <v>20</v>
      </c>
      <c r="B173" s="65"/>
      <c r="C173" s="65"/>
      <c r="D173" s="245" t="s">
        <v>367</v>
      </c>
      <c r="E173" s="245" t="s">
        <v>368</v>
      </c>
      <c r="F173" s="245" t="s">
        <v>361</v>
      </c>
      <c r="G173" s="245" t="s">
        <v>362</v>
      </c>
      <c r="H173" s="245" t="s">
        <v>363</v>
      </c>
      <c r="I173" s="245" t="s">
        <v>364</v>
      </c>
      <c r="J173" s="245" t="s">
        <v>365</v>
      </c>
      <c r="K173" s="245" t="s">
        <v>366</v>
      </c>
      <c r="L173" s="245" t="s">
        <v>370</v>
      </c>
      <c r="M173" s="246" t="s">
        <v>371</v>
      </c>
      <c r="N173" s="29"/>
      <c r="O173" s="29"/>
      <c r="P173" s="29"/>
      <c r="Q173" s="29"/>
      <c r="R173" s="328"/>
      <c r="S173" s="29"/>
      <c r="T173" s="29"/>
      <c r="U173" s="29"/>
      <c r="V173" s="29"/>
      <c r="W173" s="29"/>
      <c r="X173" s="29"/>
      <c r="Y173" s="29"/>
      <c r="Z173" s="29"/>
      <c r="AA173" s="29"/>
      <c r="AB173" s="29"/>
      <c r="AC173" s="29"/>
      <c r="AD173" s="29"/>
      <c r="AE173" s="29"/>
      <c r="AF173" s="29"/>
      <c r="AG173" s="29"/>
      <c r="AH173" s="29"/>
      <c r="AI173" s="29"/>
      <c r="AJ173" s="29"/>
      <c r="AK173" s="29"/>
      <c r="AL173" s="29"/>
      <c r="AM173" s="29"/>
      <c r="AN173" s="29"/>
    </row>
    <row r="174" spans="1:40" ht="14.4" customHeight="1">
      <c r="A174" s="363" t="s">
        <v>109</v>
      </c>
      <c r="B174" s="364"/>
      <c r="C174" s="364"/>
      <c r="D174" s="257"/>
      <c r="E174" s="257"/>
      <c r="F174" s="257"/>
      <c r="G174" s="214">
        <f>'Data Worksheet'!F227</f>
        <v>0</v>
      </c>
      <c r="H174" s="214">
        <f>'Data Worksheet'!G227</f>
        <v>0</v>
      </c>
      <c r="I174" s="214">
        <f>'Data Worksheet'!H227</f>
        <v>0</v>
      </c>
      <c r="J174" s="214">
        <f>'Data Worksheet'!I227</f>
        <v>0</v>
      </c>
      <c r="K174" s="214">
        <f>'Data Worksheet'!J227</f>
        <v>0</v>
      </c>
      <c r="L174" s="214">
        <f>'Data Worksheet'!K227</f>
        <v>0</v>
      </c>
      <c r="M174" s="221">
        <f>'Data Worksheet'!L227</f>
        <v>0</v>
      </c>
      <c r="N174" s="29"/>
      <c r="O174" s="29"/>
      <c r="P174" s="29"/>
      <c r="Q174" s="29"/>
      <c r="R174" s="328"/>
      <c r="S174" s="29"/>
      <c r="T174" s="29"/>
      <c r="U174" s="29"/>
      <c r="V174" s="29"/>
      <c r="W174" s="29"/>
      <c r="X174" s="29"/>
      <c r="Y174" s="29"/>
      <c r="Z174" s="29"/>
      <c r="AA174" s="29"/>
      <c r="AB174" s="29"/>
      <c r="AC174" s="29"/>
      <c r="AD174" s="29"/>
      <c r="AE174" s="29"/>
      <c r="AF174" s="29"/>
      <c r="AG174" s="29"/>
      <c r="AH174" s="29"/>
      <c r="AI174" s="29"/>
      <c r="AJ174" s="29"/>
      <c r="AK174" s="29"/>
      <c r="AL174" s="29"/>
      <c r="AM174" s="29"/>
      <c r="AN174" s="29"/>
    </row>
    <row r="175" spans="1:40" ht="14.4" customHeight="1">
      <c r="A175" s="363" t="s">
        <v>110</v>
      </c>
      <c r="B175" s="364"/>
      <c r="C175" s="364"/>
      <c r="D175" s="257"/>
      <c r="E175" s="257"/>
      <c r="F175" s="257"/>
      <c r="G175" s="214">
        <f>'Data Worksheet'!F228</f>
        <v>-0.2878400000000001</v>
      </c>
      <c r="H175" s="214">
        <f>'Data Worksheet'!G228</f>
        <v>0</v>
      </c>
      <c r="I175" s="214">
        <f>'Data Worksheet'!H228</f>
        <v>0</v>
      </c>
      <c r="J175" s="214">
        <f>'Data Worksheet'!I228</f>
        <v>0</v>
      </c>
      <c r="K175" s="214">
        <f>'Data Worksheet'!J228</f>
        <v>0</v>
      </c>
      <c r="L175" s="214">
        <f>'Data Worksheet'!K228</f>
        <v>0</v>
      </c>
      <c r="M175" s="221">
        <f>'Data Worksheet'!L228</f>
        <v>0</v>
      </c>
      <c r="N175" s="29"/>
      <c r="O175" s="29"/>
      <c r="P175" s="29"/>
      <c r="Q175" s="29"/>
      <c r="R175" s="328"/>
      <c r="S175" s="29"/>
      <c r="T175" s="29"/>
      <c r="U175" s="29"/>
      <c r="V175" s="29"/>
      <c r="W175" s="29"/>
      <c r="X175" s="29"/>
      <c r="Y175" s="29"/>
      <c r="Z175" s="29"/>
      <c r="AA175" s="29"/>
      <c r="AB175" s="29"/>
      <c r="AC175" s="29"/>
      <c r="AD175" s="29"/>
      <c r="AE175" s="29"/>
      <c r="AF175" s="29"/>
      <c r="AG175" s="29"/>
      <c r="AH175" s="29"/>
      <c r="AI175" s="29"/>
      <c r="AJ175" s="29"/>
      <c r="AK175" s="29"/>
      <c r="AL175" s="29"/>
      <c r="AM175" s="29"/>
      <c r="AN175" s="29"/>
    </row>
    <row r="176" spans="1:40" ht="14.4" customHeight="1">
      <c r="A176" s="363" t="s">
        <v>113</v>
      </c>
      <c r="B176" s="364"/>
      <c r="C176" s="364"/>
      <c r="D176" s="257"/>
      <c r="E176" s="257"/>
      <c r="F176" s="257"/>
      <c r="G176" s="214">
        <f>'Data Worksheet'!F229</f>
        <v>0</v>
      </c>
      <c r="H176" s="214">
        <f>'Data Worksheet'!G229</f>
        <v>0</v>
      </c>
      <c r="I176" s="214">
        <f>'Data Worksheet'!H229</f>
        <v>0</v>
      </c>
      <c r="J176" s="214">
        <f>'Data Worksheet'!I229</f>
        <v>0</v>
      </c>
      <c r="K176" s="214">
        <f>'Data Worksheet'!J229</f>
        <v>0</v>
      </c>
      <c r="L176" s="214">
        <f>'Data Worksheet'!K229</f>
        <v>0</v>
      </c>
      <c r="M176" s="221">
        <f>'Data Worksheet'!L229</f>
        <v>0</v>
      </c>
      <c r="N176" s="29"/>
      <c r="O176" s="29"/>
      <c r="P176" s="29"/>
      <c r="Q176" s="29"/>
      <c r="R176" s="328"/>
      <c r="S176" s="29"/>
      <c r="T176" s="29"/>
      <c r="U176" s="29"/>
      <c r="V176" s="29"/>
      <c r="W176" s="29"/>
      <c r="X176" s="29"/>
      <c r="Y176" s="29"/>
      <c r="Z176" s="29"/>
      <c r="AA176" s="29"/>
      <c r="AB176" s="29"/>
      <c r="AC176" s="29"/>
      <c r="AD176" s="29"/>
      <c r="AE176" s="29"/>
      <c r="AF176" s="29"/>
      <c r="AG176" s="29"/>
      <c r="AH176" s="29"/>
      <c r="AI176" s="29"/>
      <c r="AJ176" s="29"/>
      <c r="AK176" s="29"/>
      <c r="AL176" s="29"/>
      <c r="AM176" s="29"/>
      <c r="AN176" s="29"/>
    </row>
    <row r="177" spans="1:40" ht="14.4" customHeight="1">
      <c r="A177" s="363" t="s">
        <v>1</v>
      </c>
      <c r="B177" s="364"/>
      <c r="C177" s="364"/>
      <c r="D177" s="257"/>
      <c r="E177" s="257"/>
      <c r="F177" s="257"/>
      <c r="G177" s="214">
        <f>'Data Worksheet'!F230</f>
        <v>0</v>
      </c>
      <c r="H177" s="214">
        <f>'Data Worksheet'!G230</f>
        <v>0</v>
      </c>
      <c r="I177" s="214">
        <f>'Data Worksheet'!H230</f>
        <v>0</v>
      </c>
      <c r="J177" s="214">
        <f>'Data Worksheet'!I230</f>
        <v>0</v>
      </c>
      <c r="K177" s="214">
        <f>'Data Worksheet'!J230</f>
        <v>0</v>
      </c>
      <c r="L177" s="214">
        <f>'Data Worksheet'!K230</f>
        <v>0</v>
      </c>
      <c r="M177" s="221">
        <f>'Data Worksheet'!L230</f>
        <v>0</v>
      </c>
      <c r="N177" s="29"/>
      <c r="O177" s="29"/>
      <c r="P177" s="29"/>
      <c r="Q177" s="29"/>
      <c r="R177" s="328"/>
      <c r="S177" s="29"/>
      <c r="T177" s="29"/>
      <c r="U177" s="29"/>
      <c r="V177" s="29"/>
      <c r="W177" s="29"/>
      <c r="X177" s="29"/>
      <c r="Y177" s="29"/>
      <c r="Z177" s="29"/>
      <c r="AA177" s="29"/>
      <c r="AB177" s="29"/>
      <c r="AC177" s="29"/>
      <c r="AD177" s="29"/>
      <c r="AE177" s="29"/>
      <c r="AF177" s="29"/>
      <c r="AG177" s="29"/>
      <c r="AH177" s="29"/>
      <c r="AI177" s="29"/>
      <c r="AJ177" s="29"/>
      <c r="AK177" s="29"/>
      <c r="AL177" s="29"/>
      <c r="AM177" s="29"/>
      <c r="AN177" s="29"/>
    </row>
    <row r="178" spans="1:40" ht="14.4" customHeight="1" thickBot="1">
      <c r="A178" s="365" t="s">
        <v>78</v>
      </c>
      <c r="B178" s="366"/>
      <c r="C178" s="366"/>
      <c r="D178" s="258"/>
      <c r="E178" s="258"/>
      <c r="F178" s="258"/>
      <c r="G178" s="254">
        <f>'Data Worksheet'!F231</f>
        <v>0</v>
      </c>
      <c r="H178" s="254">
        <f>'Data Worksheet'!G231</f>
        <v>0</v>
      </c>
      <c r="I178" s="254">
        <f>'Data Worksheet'!H231</f>
        <v>0</v>
      </c>
      <c r="J178" s="254">
        <f>'Data Worksheet'!I231</f>
        <v>0</v>
      </c>
      <c r="K178" s="254">
        <f>'Data Worksheet'!J231</f>
        <v>0</v>
      </c>
      <c r="L178" s="254">
        <f>'Data Worksheet'!K231</f>
        <v>0</v>
      </c>
      <c r="M178" s="255">
        <f>'Data Worksheet'!L231</f>
        <v>0</v>
      </c>
      <c r="N178" s="29"/>
      <c r="O178" s="29"/>
      <c r="P178" s="29"/>
      <c r="Q178" s="29"/>
      <c r="R178" s="328"/>
      <c r="S178" s="29"/>
      <c r="T178" s="29"/>
      <c r="U178" s="29"/>
      <c r="V178" s="29"/>
      <c r="W178" s="29"/>
      <c r="X178" s="29"/>
      <c r="Y178" s="29"/>
      <c r="Z178" s="29"/>
      <c r="AA178" s="29"/>
      <c r="AB178" s="29"/>
      <c r="AC178" s="29"/>
      <c r="AD178" s="29"/>
      <c r="AE178" s="29"/>
      <c r="AF178" s="29"/>
      <c r="AG178" s="29"/>
      <c r="AH178" s="29"/>
      <c r="AI178" s="29"/>
      <c r="AJ178" s="29"/>
      <c r="AK178" s="29"/>
      <c r="AL178" s="29"/>
      <c r="AM178" s="29"/>
      <c r="AN178" s="29"/>
    </row>
    <row r="179" spans="1:40" ht="14.4" customHeight="1">
      <c r="A179" s="29"/>
      <c r="B179" s="29"/>
      <c r="C179" s="29"/>
      <c r="D179" s="244"/>
      <c r="E179" s="244"/>
      <c r="F179" s="244"/>
      <c r="G179" s="244"/>
      <c r="H179" s="244"/>
      <c r="I179" s="244"/>
      <c r="J179" s="244"/>
      <c r="K179" s="244"/>
      <c r="L179" s="244"/>
      <c r="M179" s="244"/>
      <c r="N179" s="29"/>
      <c r="O179" s="29"/>
      <c r="P179" s="29"/>
      <c r="Q179" s="29"/>
      <c r="R179" s="328"/>
      <c r="S179" s="29"/>
      <c r="T179" s="29"/>
      <c r="U179" s="29"/>
      <c r="V179" s="29"/>
      <c r="W179" s="29"/>
      <c r="X179" s="29"/>
      <c r="Y179" s="29"/>
      <c r="Z179" s="29"/>
      <c r="AA179" s="29"/>
      <c r="AB179" s="29"/>
      <c r="AC179" s="29"/>
      <c r="AD179" s="29"/>
      <c r="AE179" s="29"/>
      <c r="AF179" s="29"/>
      <c r="AG179" s="29"/>
      <c r="AH179" s="29"/>
      <c r="AI179" s="29"/>
      <c r="AJ179" s="29"/>
      <c r="AK179" s="29"/>
      <c r="AL179" s="29"/>
      <c r="AM179" s="29"/>
      <c r="AN179" s="29"/>
    </row>
    <row r="180" spans="1:40" ht="14.4" customHeight="1" thickBot="1">
      <c r="A180" s="99" t="s">
        <v>308</v>
      </c>
      <c r="B180" s="29"/>
      <c r="C180" s="29"/>
      <c r="D180" s="253" t="s">
        <v>193</v>
      </c>
      <c r="E180" s="252"/>
      <c r="F180" s="253"/>
      <c r="G180" s="253"/>
      <c r="H180" s="251"/>
      <c r="I180" s="251"/>
      <c r="J180" s="251"/>
      <c r="K180" s="251"/>
      <c r="L180" s="251"/>
      <c r="M180" s="251"/>
      <c r="N180" s="29"/>
      <c r="O180" s="29"/>
      <c r="P180" s="29"/>
      <c r="Q180" s="29"/>
      <c r="R180" s="328"/>
      <c r="S180" s="29"/>
      <c r="T180" s="29"/>
      <c r="U180" s="29"/>
      <c r="V180" s="29"/>
      <c r="W180" s="29"/>
      <c r="X180" s="29"/>
      <c r="Y180" s="29"/>
      <c r="Z180" s="29"/>
      <c r="AA180" s="29"/>
      <c r="AB180" s="29"/>
      <c r="AC180" s="29"/>
      <c r="AD180" s="29"/>
      <c r="AE180" s="29"/>
      <c r="AF180" s="29"/>
      <c r="AG180" s="29"/>
      <c r="AH180" s="29"/>
      <c r="AI180" s="29"/>
      <c r="AJ180" s="29"/>
      <c r="AK180" s="29"/>
      <c r="AL180" s="29"/>
      <c r="AM180" s="29"/>
      <c r="AN180" s="29"/>
    </row>
    <row r="181" spans="1:40" ht="14.4" customHeight="1">
      <c r="A181" s="175" t="s">
        <v>310</v>
      </c>
      <c r="B181" s="65"/>
      <c r="C181" s="65"/>
      <c r="D181" s="245" t="s">
        <v>367</v>
      </c>
      <c r="E181" s="245" t="s">
        <v>368</v>
      </c>
      <c r="F181" s="245" t="s">
        <v>361</v>
      </c>
      <c r="G181" s="245" t="s">
        <v>362</v>
      </c>
      <c r="H181" s="245" t="s">
        <v>363</v>
      </c>
      <c r="I181" s="245" t="s">
        <v>364</v>
      </c>
      <c r="J181" s="245" t="s">
        <v>365</v>
      </c>
      <c r="K181" s="245" t="s">
        <v>366</v>
      </c>
      <c r="L181" s="245" t="s">
        <v>370</v>
      </c>
      <c r="M181" s="246" t="s">
        <v>371</v>
      </c>
      <c r="N181" s="29"/>
      <c r="O181" s="29"/>
      <c r="P181" s="29"/>
      <c r="Q181" s="29"/>
      <c r="R181" s="328"/>
      <c r="S181" s="29"/>
      <c r="T181" s="29"/>
      <c r="U181" s="29"/>
      <c r="V181" s="29"/>
      <c r="W181" s="29"/>
      <c r="X181" s="29"/>
      <c r="Y181" s="29"/>
      <c r="Z181" s="29"/>
      <c r="AA181" s="29"/>
      <c r="AB181" s="29"/>
      <c r="AC181" s="29"/>
      <c r="AD181" s="29"/>
      <c r="AE181" s="29"/>
      <c r="AF181" s="29"/>
      <c r="AG181" s="29"/>
      <c r="AH181" s="29"/>
      <c r="AI181" s="29"/>
      <c r="AJ181" s="29"/>
      <c r="AK181" s="29"/>
      <c r="AL181" s="29"/>
      <c r="AM181" s="29"/>
      <c r="AN181" s="29"/>
    </row>
    <row r="182" spans="1:40" ht="14.4" customHeight="1">
      <c r="A182" s="363" t="str">
        <f>'Data Worksheet'!A235</f>
        <v>Budget Increases</v>
      </c>
      <c r="B182" s="367"/>
      <c r="C182" s="367"/>
      <c r="D182" s="259"/>
      <c r="E182" s="259"/>
      <c r="F182" s="214">
        <f>+'Data Worksheet'!E235</f>
        <v>0</v>
      </c>
      <c r="G182" s="214">
        <f>+'Data Worksheet'!F235</f>
        <v>0</v>
      </c>
      <c r="H182" s="214">
        <f>+'Data Worksheet'!G235</f>
        <v>0</v>
      </c>
      <c r="I182" s="214">
        <f>+'Data Worksheet'!H235</f>
        <v>0</v>
      </c>
      <c r="J182" s="214">
        <f>+'Data Worksheet'!I235</f>
        <v>0</v>
      </c>
      <c r="K182" s="214">
        <f>+'Data Worksheet'!J235</f>
        <v>0</v>
      </c>
      <c r="L182" s="214">
        <f>+'Data Worksheet'!K235</f>
        <v>0</v>
      </c>
      <c r="M182" s="221">
        <f>+'Data Worksheet'!L235</f>
        <v>0</v>
      </c>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row>
    <row r="183" spans="1:40" ht="14.4" customHeight="1" thickBot="1">
      <c r="A183" s="368" t="str">
        <f>'Data Worksheet'!A236</f>
        <v>Budget Decreases</v>
      </c>
      <c r="B183" s="369"/>
      <c r="C183" s="369"/>
      <c r="D183" s="260"/>
      <c r="E183" s="260"/>
      <c r="F183" s="254">
        <f>+'Data Worksheet'!E236</f>
        <v>-1.099</v>
      </c>
      <c r="G183" s="254">
        <f>+'Data Worksheet'!F236</f>
        <v>-0.3</v>
      </c>
      <c r="H183" s="254">
        <f>+'Data Worksheet'!G236</f>
        <v>-0.3</v>
      </c>
      <c r="I183" s="254">
        <f>+'Data Worksheet'!H236</f>
        <v>-0.3</v>
      </c>
      <c r="J183" s="254">
        <f>+'Data Worksheet'!I236</f>
        <v>-0.3</v>
      </c>
      <c r="K183" s="254">
        <f>+'Data Worksheet'!J236</f>
        <v>-0.3</v>
      </c>
      <c r="L183" s="254">
        <f>+'Data Worksheet'!K236</f>
        <v>-0.3</v>
      </c>
      <c r="M183" s="255">
        <f>+'Data Worksheet'!L236</f>
        <v>-0.3</v>
      </c>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row>
    <row r="184" spans="1:40" ht="14.4"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row>
    <row r="185" spans="1:40" ht="17.7"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row>
    <row r="186" spans="1:40">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row>
    <row r="187" spans="1:40">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row>
    <row r="188" spans="1:40">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row>
    <row r="189" spans="1:40">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pans="1:40">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row>
    <row r="191" spans="1:40">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row>
    <row r="192" spans="1:40">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row>
    <row r="193" spans="1:40">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row>
    <row r="194" spans="1:40">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row>
    <row r="195" spans="1:40">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row>
    <row r="196" spans="1:40">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row>
    <row r="197" spans="1:40">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row>
    <row r="198" spans="1:40">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row>
    <row r="199" spans="1:40">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row>
    <row r="200" spans="1:40">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row>
    <row r="201" spans="1:40">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row>
    <row r="202" spans="1:40">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row>
    <row r="203" spans="1:40">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row>
    <row r="204" spans="1:40">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row>
    <row r="205" spans="1:40">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row>
    <row r="206" spans="1:40">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row>
    <row r="207" spans="1:40">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row>
    <row r="208" spans="1:40">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row>
    <row r="209" spans="1:40">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row>
    <row r="210" spans="1:40">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row>
    <row r="211" spans="1:40">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row>
    <row r="212" spans="1:40">
      <c r="A212" s="329" t="s">
        <v>40</v>
      </c>
      <c r="B212" s="329" t="s">
        <v>40</v>
      </c>
      <c r="C212" s="329" t="s">
        <v>40</v>
      </c>
      <c r="D212" s="329" t="s">
        <v>40</v>
      </c>
      <c r="E212" s="329" t="s">
        <v>40</v>
      </c>
      <c r="F212" s="329" t="s">
        <v>40</v>
      </c>
      <c r="G212" s="329" t="s">
        <v>40</v>
      </c>
      <c r="H212" s="329" t="s">
        <v>40</v>
      </c>
      <c r="I212" s="329" t="s">
        <v>40</v>
      </c>
      <c r="J212" s="329" t="s">
        <v>40</v>
      </c>
      <c r="K212" s="329" t="s">
        <v>40</v>
      </c>
      <c r="L212" s="329" t="s">
        <v>40</v>
      </c>
      <c r="M212" s="329" t="s">
        <v>40</v>
      </c>
      <c r="N212" s="329" t="s">
        <v>40</v>
      </c>
      <c r="O212" s="329" t="s">
        <v>40</v>
      </c>
      <c r="P212" s="329" t="s">
        <v>40</v>
      </c>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row>
    <row r="213" spans="1:40">
      <c r="A213" s="29"/>
      <c r="B213" s="29"/>
      <c r="C213" s="330"/>
      <c r="D213" s="330"/>
      <c r="E213" s="330">
        <v>1</v>
      </c>
      <c r="F213" s="330">
        <f>E213+1</f>
        <v>2</v>
      </c>
      <c r="G213" s="330">
        <f t="shared" ref="G213:L213" si="33">F213+1</f>
        <v>3</v>
      </c>
      <c r="H213" s="330">
        <f t="shared" si="33"/>
        <v>4</v>
      </c>
      <c r="I213" s="330">
        <f t="shared" si="33"/>
        <v>5</v>
      </c>
      <c r="J213" s="330">
        <f t="shared" si="33"/>
        <v>6</v>
      </c>
      <c r="K213" s="330">
        <f t="shared" si="33"/>
        <v>7</v>
      </c>
      <c r="L213" s="330">
        <f t="shared" si="33"/>
        <v>8</v>
      </c>
      <c r="M213" s="29" t="str">
        <f>IF(Loss20+Loss21+Loss22=0,"No-Recession Forecast Change in Balance (mil.)","Recession Forecast Change in Balance (mil.)")</f>
        <v>Recession Forecast Change in Balance (mil.)</v>
      </c>
      <c r="N213" s="29"/>
      <c r="O213" s="29"/>
      <c r="P213" s="331"/>
      <c r="Q213" s="331"/>
      <c r="R213" s="331"/>
      <c r="S213" s="29"/>
      <c r="T213" s="29"/>
      <c r="U213" s="29"/>
      <c r="V213" s="29"/>
      <c r="W213" s="29"/>
      <c r="X213" s="29"/>
      <c r="Y213" s="29"/>
      <c r="Z213" s="29"/>
      <c r="AA213" s="29"/>
      <c r="AB213" s="29"/>
      <c r="AC213" s="29"/>
      <c r="AD213" s="29"/>
      <c r="AE213" s="29"/>
      <c r="AF213" s="29"/>
      <c r="AG213" s="29"/>
      <c r="AH213" s="29"/>
      <c r="AI213" s="29"/>
      <c r="AJ213" s="29"/>
      <c r="AK213" s="29"/>
      <c r="AL213" s="29"/>
      <c r="AM213" s="29"/>
      <c r="AN213" s="29"/>
    </row>
    <row r="214" spans="1:40">
      <c r="A214" s="29" t="s">
        <v>33</v>
      </c>
      <c r="B214" s="29"/>
      <c r="C214" s="25" t="s">
        <v>367</v>
      </c>
      <c r="D214" s="25" t="s">
        <v>368</v>
      </c>
      <c r="E214" s="25" t="s">
        <v>361</v>
      </c>
      <c r="F214" s="25" t="s">
        <v>362</v>
      </c>
      <c r="G214" s="25" t="s">
        <v>363</v>
      </c>
      <c r="H214" s="25" t="s">
        <v>364</v>
      </c>
      <c r="I214" s="25" t="s">
        <v>365</v>
      </c>
      <c r="J214" s="25" t="s">
        <v>366</v>
      </c>
      <c r="K214" s="25" t="s">
        <v>370</v>
      </c>
      <c r="L214" s="25" t="s">
        <v>371</v>
      </c>
      <c r="M214" s="29" t="str">
        <f>IF(B90&lt;&gt;"",B90&amp;" General Fund Balance (mil.)","Your City General Fund Balance (mil.)")</f>
        <v>Kenmore, WA General Fund Balance (mil.)</v>
      </c>
      <c r="N214" s="29"/>
      <c r="O214" s="29"/>
      <c r="P214" s="332" t="s">
        <v>163</v>
      </c>
      <c r="Q214" s="333"/>
      <c r="R214" s="331"/>
      <c r="S214" s="29"/>
      <c r="T214" s="29"/>
      <c r="U214" s="29"/>
      <c r="V214" s="29"/>
      <c r="W214" s="29"/>
      <c r="X214" s="29"/>
      <c r="Y214" s="29"/>
      <c r="Z214" s="29"/>
      <c r="AA214" s="29"/>
      <c r="AB214" s="29"/>
      <c r="AC214" s="29"/>
      <c r="AD214" s="29"/>
      <c r="AE214" s="29"/>
      <c r="AF214" s="29"/>
      <c r="AG214" s="29"/>
      <c r="AH214" s="29"/>
      <c r="AI214" s="29"/>
      <c r="AJ214" s="29"/>
      <c r="AK214" s="29"/>
      <c r="AL214" s="29"/>
      <c r="AM214" s="29"/>
      <c r="AN214" s="29"/>
    </row>
    <row r="215" spans="1:40">
      <c r="A215" s="29" t="s">
        <v>34</v>
      </c>
      <c r="B215" s="29"/>
      <c r="C215" s="26">
        <v>18</v>
      </c>
      <c r="D215" s="26">
        <f t="shared" ref="D215:L215" si="34">C215+1</f>
        <v>19</v>
      </c>
      <c r="E215" s="26">
        <f t="shared" si="34"/>
        <v>20</v>
      </c>
      <c r="F215" s="26">
        <f t="shared" si="34"/>
        <v>21</v>
      </c>
      <c r="G215" s="26">
        <f t="shared" si="34"/>
        <v>22</v>
      </c>
      <c r="H215" s="26">
        <f t="shared" si="34"/>
        <v>23</v>
      </c>
      <c r="I215" s="26">
        <f t="shared" si="34"/>
        <v>24</v>
      </c>
      <c r="J215" s="26">
        <f t="shared" si="34"/>
        <v>25</v>
      </c>
      <c r="K215" s="26">
        <f t="shared" si="34"/>
        <v>26</v>
      </c>
      <c r="L215" s="26">
        <f t="shared" si="34"/>
        <v>27</v>
      </c>
      <c r="M215" s="29" t="str">
        <f>IF(B90&lt;&gt;"",B90&amp;" General Fund Revenue Gap (mil.)","Your City General Fund Revenue Gap (mil.)")</f>
        <v>Kenmore, WA General Fund Revenue Gap (mil.)</v>
      </c>
      <c r="N215" s="29"/>
      <c r="O215" s="29"/>
      <c r="P215" s="334" t="s">
        <v>160</v>
      </c>
      <c r="Q215" s="335">
        <f>ROUNDUP(MAX('Recession Forecast'!B25:K25,'Recession Forecast'!B35:K35)/1000000,-1)</f>
        <v>20</v>
      </c>
      <c r="R215" s="331"/>
      <c r="S215" s="29"/>
      <c r="T215" s="29"/>
      <c r="U215" s="29"/>
      <c r="V215" s="29"/>
      <c r="W215" s="29"/>
      <c r="X215" s="29"/>
      <c r="Y215" s="29"/>
      <c r="Z215" s="29"/>
      <c r="AA215" s="29"/>
      <c r="AB215" s="29"/>
      <c r="AC215" s="29"/>
      <c r="AD215" s="29"/>
      <c r="AE215" s="29"/>
      <c r="AF215" s="29"/>
      <c r="AG215" s="29"/>
      <c r="AH215" s="29"/>
      <c r="AI215" s="29"/>
      <c r="AJ215" s="29"/>
      <c r="AK215" s="29"/>
      <c r="AL215" s="29"/>
      <c r="AM215" s="29"/>
      <c r="AN215" s="29"/>
    </row>
    <row r="216" spans="1:40">
      <c r="A216" s="29" t="s">
        <v>29</v>
      </c>
      <c r="B216" s="29"/>
      <c r="C216" s="27">
        <f>'No Recession Forecast'!B50*Reserve_Goal</f>
        <v>2448316.5640000002</v>
      </c>
      <c r="D216" s="27">
        <f>'No Recession Forecast'!C50*Reserve_Goal</f>
        <v>2806764.86</v>
      </c>
      <c r="E216" s="27">
        <f>'No Recession Forecast'!D50*Reserve_Goal</f>
        <v>2477258.1622800003</v>
      </c>
      <c r="F216" s="27">
        <f>'No Recession Forecast'!E50*Reserve_Goal</f>
        <v>2621007.5070168003</v>
      </c>
      <c r="G216" s="27">
        <f>'No Recession Forecast'!F50*Reserve_Goal</f>
        <v>2736808.0350526082</v>
      </c>
      <c r="H216" s="27">
        <f>'No Recession Forecast'!G50*Reserve_Goal</f>
        <v>2894259.2205367684</v>
      </c>
      <c r="I216" s="27">
        <f>'No Recession Forecast'!H50*Reserve_Goal</f>
        <v>2992296.9818255594</v>
      </c>
      <c r="J216" s="27">
        <f>'No Recession Forecast'!I50*Reserve_Goal</f>
        <v>3104875.4845911767</v>
      </c>
      <c r="K216" s="27">
        <f>'No Recession Forecast'!J50*Reserve_Goal</f>
        <v>3221954.7412138521</v>
      </c>
      <c r="L216" s="27">
        <f>'No Recession Forecast'!K50*Reserve_Goal</f>
        <v>3343725.305109228</v>
      </c>
      <c r="M216" s="29" t="str">
        <f>IF(B90&lt;&gt;"",B90&amp;" Change in General Fund Balance
Recession Forecast (mil.)","Your City Change in General Fund Balance
Recession Forecast (mil.)")</f>
        <v>Kenmore, WA Change in General Fund Balance
Recession Forecast (mil.)</v>
      </c>
      <c r="N216" s="29"/>
      <c r="O216" s="29"/>
      <c r="P216" s="334" t="s">
        <v>162</v>
      </c>
      <c r="Q216" s="335">
        <f>MIN('Recession Forecast'!B25:K25)/1000000</f>
        <v>12.440656520000001</v>
      </c>
      <c r="R216" s="331"/>
      <c r="S216" s="29"/>
      <c r="T216" s="29"/>
      <c r="U216" s="29"/>
      <c r="V216" s="29"/>
      <c r="W216" s="29"/>
      <c r="X216" s="29"/>
      <c r="Y216" s="29"/>
      <c r="Z216" s="29"/>
      <c r="AA216" s="29"/>
      <c r="AB216" s="29"/>
      <c r="AC216" s="29"/>
      <c r="AD216" s="29"/>
      <c r="AE216" s="29"/>
      <c r="AF216" s="29"/>
      <c r="AG216" s="29"/>
      <c r="AH216" s="29"/>
      <c r="AI216" s="29"/>
      <c r="AJ216" s="29"/>
      <c r="AK216" s="29"/>
      <c r="AL216" s="29"/>
      <c r="AM216" s="29"/>
      <c r="AN216" s="29"/>
    </row>
    <row r="217" spans="1:40">
      <c r="A217" s="29" t="s">
        <v>30</v>
      </c>
      <c r="B217" s="29"/>
      <c r="C217" s="27">
        <f>'Recession Forecast'!B52*Reserve_Goal</f>
        <v>2448316.5640000002</v>
      </c>
      <c r="D217" s="27">
        <f>'Recession Forecast'!C52*Reserve_Goal</f>
        <v>2806764.86</v>
      </c>
      <c r="E217" s="27">
        <f>'Recession Forecast'!D52*Reserve_Goal</f>
        <v>2477258.1622800003</v>
      </c>
      <c r="F217" s="27">
        <f>'Recession Forecast'!E52*Reserve_Goal</f>
        <v>2621007.5070168003</v>
      </c>
      <c r="G217" s="27">
        <f>'Recession Forecast'!F52*Reserve_Goal</f>
        <v>2736808.0350526082</v>
      </c>
      <c r="H217" s="27">
        <f>'Recession Forecast'!G52*Reserve_Goal</f>
        <v>2894259.2205367684</v>
      </c>
      <c r="I217" s="27">
        <f>'Recession Forecast'!H52*Reserve_Goal</f>
        <v>2992296.9818255594</v>
      </c>
      <c r="J217" s="27">
        <f>'Recession Forecast'!I52*Reserve_Goal</f>
        <v>3104875.4845911767</v>
      </c>
      <c r="K217" s="27">
        <f>'Recession Forecast'!J52*Reserve_Goal</f>
        <v>3221954.7412138521</v>
      </c>
      <c r="L217" s="27">
        <f>'Recession Forecast'!K52*Reserve_Goal</f>
        <v>3343725.305109228</v>
      </c>
      <c r="M217" s="336" t="s">
        <v>172</v>
      </c>
      <c r="N217" s="29" t="s">
        <v>350</v>
      </c>
      <c r="O217" s="29"/>
      <c r="P217" s="334" t="s">
        <v>157</v>
      </c>
      <c r="Q217" s="337">
        <f>CEILING(ROUNDUP(MAX('Recession Forecast'!B25:K25,'Recession Forecast'!B35:K35)/1000000,-1),20)</f>
        <v>20</v>
      </c>
      <c r="R217" s="331"/>
      <c r="S217" s="29"/>
      <c r="T217" s="29"/>
      <c r="U217" s="29"/>
      <c r="V217" s="29"/>
      <c r="W217" s="29"/>
      <c r="X217" s="29"/>
      <c r="Y217" s="29"/>
      <c r="Z217" s="29"/>
      <c r="AA217" s="29"/>
      <c r="AB217" s="29"/>
      <c r="AC217" s="29"/>
      <c r="AD217" s="29"/>
      <c r="AE217" s="29"/>
      <c r="AF217" s="29"/>
      <c r="AG217" s="29"/>
      <c r="AH217" s="29"/>
      <c r="AI217" s="29"/>
      <c r="AJ217" s="29"/>
      <c r="AK217" s="29"/>
      <c r="AL217" s="29"/>
      <c r="AM217" s="29"/>
      <c r="AN217" s="29"/>
    </row>
    <row r="218" spans="1:40">
      <c r="A218" s="29" t="s">
        <v>35</v>
      </c>
      <c r="B218" s="29"/>
      <c r="C218" s="27">
        <f>'No Recession Forecast'!B23-SUM('Recession Forecast'!B3:B21)</f>
        <v>1196432</v>
      </c>
      <c r="D218" s="27">
        <f>'No Recession Forecast'!C23-SUM('Recession Forecast'!C3:C21)</f>
        <v>672565</v>
      </c>
      <c r="E218" s="27">
        <f>'No Recession Forecast'!D23-SUM('Recession Forecast'!D3:D21)</f>
        <v>1346080.4799999986</v>
      </c>
      <c r="F218" s="27">
        <f>'No Recession Forecast'!E23-SUM('Recession Forecast'!E3:E21)</f>
        <v>1259368.8007999994</v>
      </c>
      <c r="G218" s="27">
        <f>'No Recession Forecast'!F23-SUM('Recession Forecast'!F3:F21)</f>
        <v>681079.77301200293</v>
      </c>
      <c r="H218" s="27">
        <f>'No Recession Forecast'!G23-SUM('Recession Forecast'!G3:G21)</f>
        <v>447540.18477938138</v>
      </c>
      <c r="I218" s="27">
        <f>'No Recession Forecast'!H23-SUM('Recession Forecast'!H3:H21)</f>
        <v>200721.38477182761</v>
      </c>
      <c r="J218" s="27">
        <f>'No Recession Forecast'!I23-SUM('Recession Forecast'!I3:I21)</f>
        <v>201995.81246726401</v>
      </c>
      <c r="K218" s="27">
        <f>'No Recession Forecast'!J23-SUM('Recession Forecast'!J3:J21)</f>
        <v>203295.72871661</v>
      </c>
      <c r="L218" s="27">
        <f>'No Recession Forecast'!K23-SUM('Recession Forecast'!K3:K21)</f>
        <v>177256.26191692241</v>
      </c>
      <c r="M218" s="29" t="str">
        <f>IF(B$90&lt;&gt;"",B$90&amp;" General Fund Revenue Loss as % of No-Recession Forecast","Your City Revenue Loss as % of No-Recession Forecast")</f>
        <v>Kenmore, WA General Fund Revenue Loss as % of No-Recession Forecast</v>
      </c>
      <c r="N218" s="29"/>
      <c r="O218" s="29"/>
      <c r="P218" s="334" t="s">
        <v>158</v>
      </c>
      <c r="Q218" s="335">
        <f>ROUNDDOWN(Q216/20,0)*20</f>
        <v>0</v>
      </c>
      <c r="R218" s="331"/>
      <c r="S218" s="29"/>
      <c r="T218" s="29"/>
      <c r="U218" s="29"/>
      <c r="V218" s="29"/>
      <c r="W218" s="29"/>
      <c r="X218" s="29"/>
      <c r="Y218" s="29"/>
      <c r="Z218" s="29"/>
      <c r="AA218" s="29"/>
      <c r="AB218" s="29"/>
      <c r="AC218" s="29"/>
      <c r="AD218" s="29"/>
      <c r="AE218" s="29"/>
      <c r="AF218" s="29"/>
      <c r="AG218" s="29"/>
      <c r="AH218" s="29"/>
      <c r="AI218" s="29"/>
      <c r="AJ218" s="29"/>
      <c r="AK218" s="29"/>
      <c r="AL218" s="29"/>
      <c r="AM218" s="29"/>
      <c r="AN218" s="29"/>
    </row>
    <row r="219" spans="1:40">
      <c r="A219" s="29" t="s">
        <v>161</v>
      </c>
      <c r="B219" s="29"/>
      <c r="C219" s="27">
        <f>'Recession Forecast'!B25</f>
        <v>13470890</v>
      </c>
      <c r="D219" s="27">
        <f>'Recession Forecast'!C25</f>
        <v>13111017</v>
      </c>
      <c r="E219" s="27">
        <f>'Recession Forecast'!D25</f>
        <v>12440656.520000001</v>
      </c>
      <c r="F219" s="27">
        <f>'Recession Forecast'!E25</f>
        <v>12505876.842971999</v>
      </c>
      <c r="G219" s="27">
        <f>'Recession Forecast'!F25</f>
        <v>13310285.177533757</v>
      </c>
      <c r="H219" s="27">
        <f>'Recession Forecast'!G25</f>
        <v>13768065.688870031</v>
      </c>
      <c r="I219" s="27">
        <f>'Recession Forecast'!H25</f>
        <v>14233167.878701035</v>
      </c>
      <c r="J219" s="27">
        <f>'Recession Forecast'!I25</f>
        <v>14450168.387817502</v>
      </c>
      <c r="K219" s="27">
        <f>'Recession Forecast'!J25</f>
        <v>14665811.097988531</v>
      </c>
      <c r="L219" s="27">
        <f>'Recession Forecast'!K25</f>
        <v>14907118.137677681</v>
      </c>
      <c r="M219" s="29"/>
      <c r="N219" s="338"/>
      <c r="O219" s="29"/>
      <c r="P219" s="339" t="s">
        <v>159</v>
      </c>
      <c r="Q219" s="340">
        <f>IF((Max_y-Min_y)/2&lt;=6,2,IF((Max_y-Min_y)/5&lt;=6,5,IF((Max_y-Min_y)/10&lt;=6,10,IF((Max_y-Min_y)/20&lt;=6,20,50))))</f>
        <v>5</v>
      </c>
      <c r="R219" s="331"/>
      <c r="S219" s="29"/>
      <c r="T219" s="29"/>
      <c r="U219" s="29"/>
      <c r="V219" s="29"/>
      <c r="W219" s="29"/>
      <c r="X219" s="29"/>
      <c r="Y219" s="29"/>
      <c r="Z219" s="29"/>
      <c r="AA219" s="29"/>
      <c r="AB219" s="29"/>
      <c r="AC219" s="29"/>
      <c r="AD219" s="29"/>
      <c r="AE219" s="29"/>
      <c r="AF219" s="29"/>
      <c r="AG219" s="29"/>
      <c r="AH219" s="29"/>
      <c r="AI219" s="29"/>
      <c r="AJ219" s="29"/>
      <c r="AK219" s="29"/>
      <c r="AL219" s="29"/>
      <c r="AM219" s="29"/>
      <c r="AN219" s="29"/>
    </row>
    <row r="220" spans="1:40">
      <c r="A220" s="29" t="s">
        <v>45</v>
      </c>
      <c r="B220" s="29"/>
      <c r="C220" s="27">
        <f>'Recession Forecast'!B24</f>
        <v>0</v>
      </c>
      <c r="D220" s="27">
        <f>'Recession Forecast'!C24</f>
        <v>0</v>
      </c>
      <c r="E220" s="27">
        <f>'Recession Forecast'!D24</f>
        <v>0</v>
      </c>
      <c r="F220" s="27">
        <f>'Recession Forecast'!E24</f>
        <v>0</v>
      </c>
      <c r="G220" s="27">
        <f>'Recession Forecast'!F24</f>
        <v>0</v>
      </c>
      <c r="H220" s="27">
        <f>'Recession Forecast'!G24</f>
        <v>0</v>
      </c>
      <c r="I220" s="27">
        <f>'Recession Forecast'!H24</f>
        <v>0</v>
      </c>
      <c r="J220" s="27">
        <f>'Recession Forecast'!I24</f>
        <v>0</v>
      </c>
      <c r="K220" s="27">
        <f>'Recession Forecast'!J24</f>
        <v>0</v>
      </c>
      <c r="L220" s="27">
        <f>'Recession Forecast'!K24</f>
        <v>0</v>
      </c>
      <c r="M220" s="29"/>
      <c r="N220" s="29"/>
      <c r="O220" s="29"/>
      <c r="P220" s="341" t="s">
        <v>164</v>
      </c>
      <c r="Q220" s="335">
        <v>20</v>
      </c>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row>
    <row r="221" spans="1:40">
      <c r="A221" s="29" t="s">
        <v>31</v>
      </c>
      <c r="B221" s="29"/>
      <c r="C221" s="27">
        <f>IF('No Recession Forecast'!B23-'Recession Forecast'!B25&lt;0,0,'No Recession Forecast'!B23-'Recession Forecast'!B25)</f>
        <v>0</v>
      </c>
      <c r="D221" s="27">
        <f>IF('No Recession Forecast'!C23-'Recession Forecast'!C25&lt;0,0,'No Recession Forecast'!C23-'Recession Forecast'!C25)</f>
        <v>0</v>
      </c>
      <c r="E221" s="27">
        <f>IF('No Recession Forecast'!D23-'Recession Forecast'!D25&lt;0,0,'No Recession Forecast'!D23-'Recession Forecast'!D25)</f>
        <v>1209080.4799999986</v>
      </c>
      <c r="F221" s="27">
        <f>IF('No Recession Forecast'!E23-'Recession Forecast'!E25&lt;0,0,'No Recession Forecast'!E23-'Recession Forecast'!E25)</f>
        <v>1122368.8007999994</v>
      </c>
      <c r="G221" s="27">
        <f>IF('No Recession Forecast'!F23-'Recession Forecast'!F25&lt;0,0,'No Recession Forecast'!F23-'Recession Forecast'!F25)</f>
        <v>544079.77301200293</v>
      </c>
      <c r="H221" s="27">
        <f>IF('No Recession Forecast'!G23-'Recession Forecast'!G25&lt;0,0,'No Recession Forecast'!G23-'Recession Forecast'!G25)</f>
        <v>310540.18477938138</v>
      </c>
      <c r="I221" s="27">
        <f>IF('No Recession Forecast'!H23-'Recession Forecast'!H25&lt;0,0,'No Recession Forecast'!H23-'Recession Forecast'!H25)</f>
        <v>63721.384771827608</v>
      </c>
      <c r="J221" s="27">
        <f>IF('No Recession Forecast'!I23-'Recession Forecast'!I25&lt;0,0,'No Recession Forecast'!I23-'Recession Forecast'!I25)</f>
        <v>64995.812467264012</v>
      </c>
      <c r="K221" s="27">
        <f>IF('No Recession Forecast'!J23-'Recession Forecast'!J25&lt;0,0,'No Recession Forecast'!J23-'Recession Forecast'!J25)</f>
        <v>66295.72871661</v>
      </c>
      <c r="L221" s="27">
        <f>IF('No Recession Forecast'!K23-'Recession Forecast'!K25&lt;0,0,'No Recession Forecast'!K23-'Recession Forecast'!K25)</f>
        <v>40256.261916922405</v>
      </c>
      <c r="M221" s="29"/>
      <c r="N221" s="29"/>
      <c r="O221" s="29"/>
      <c r="P221" s="342" t="s">
        <v>165</v>
      </c>
      <c r="Q221" s="343">
        <v>0</v>
      </c>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row>
    <row r="222" spans="1:40">
      <c r="A222" s="29" t="s">
        <v>236</v>
      </c>
      <c r="B222" s="29"/>
      <c r="C222" s="344">
        <v>6.5000000000000002E-2</v>
      </c>
      <c r="D222" s="27"/>
      <c r="E222" s="27"/>
      <c r="F222" s="27"/>
      <c r="G222" s="27"/>
      <c r="H222" s="27"/>
      <c r="I222" s="27"/>
      <c r="J222" s="27"/>
      <c r="K222" s="27"/>
      <c r="L222" s="27"/>
      <c r="M222" s="29"/>
      <c r="N222" s="29"/>
      <c r="O222" s="29"/>
      <c r="P222" s="345"/>
      <c r="Q222" s="53"/>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row>
    <row r="223" spans="1:40">
      <c r="A223" s="29" t="s">
        <v>73</v>
      </c>
      <c r="B223" s="29"/>
      <c r="C223" s="28" t="str">
        <f>IF(AND('Recession Forecast'!A58&gt;0,'Recession Forecast'!B58&lt;0),2000+VALUE(LEFT(C214,2)),"")</f>
        <v/>
      </c>
      <c r="D223" s="28" t="str">
        <f>IF(AND('Recession Forecast'!B58&gt;0,'Recession Forecast'!C58&lt;0),2000+VALUE(LEFT(D214,2)),"")</f>
        <v/>
      </c>
      <c r="E223" s="28" t="str">
        <f>IF(AND('Recession Forecast'!C58&gt;0,'Recession Forecast'!D58&lt;0),2000+VALUE(LEFT(E214,2)),"")</f>
        <v/>
      </c>
      <c r="F223" s="28" t="str">
        <f>IF(AND('Recession Forecast'!D58&gt;0,'Recession Forecast'!E58&lt;0),2000+VALUE(LEFT(F214,2)),"")</f>
        <v/>
      </c>
      <c r="G223" s="28" t="str">
        <f>IF(AND('Recession Forecast'!E58&gt;0,'Recession Forecast'!F58&lt;0),2000+VALUE(LEFT(G214,2)),"")</f>
        <v/>
      </c>
      <c r="H223" s="28" t="str">
        <f>IF(AND('Recession Forecast'!F58&gt;0,'Recession Forecast'!G58&lt;0),2000+VALUE(LEFT(H214,2)),"")</f>
        <v/>
      </c>
      <c r="I223" s="28" t="str">
        <f>IF(AND('Recession Forecast'!G58&gt;0,'Recession Forecast'!H58&lt;0),2000+VALUE(LEFT(I214,2)),"")</f>
        <v/>
      </c>
      <c r="J223" s="28" t="str">
        <f>IF(AND('Recession Forecast'!H58&gt;0,'Recession Forecast'!I58&lt;0),2000+VALUE(LEFT(J214,2)),"")</f>
        <v/>
      </c>
      <c r="K223" s="28" t="e">
        <f>IF(AND('Recession Forecast'!I58&gt;0,'Recession Forecast'!J58&lt;0),2000+VALUE(LEFT(K214,2)),"")</f>
        <v>#VALUE!</v>
      </c>
      <c r="L223" s="28" t="str">
        <f>IF(AND('Recession Forecast'!J58&gt;0,'Recession Forecast'!K58&lt;0),2000+VALUE(LEFT(L214,2)),"")</f>
        <v/>
      </c>
      <c r="M223" s="330"/>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row>
    <row r="224" spans="1:40">
      <c r="A224" s="29" t="s">
        <v>69</v>
      </c>
      <c r="B224" s="29"/>
      <c r="C224" s="27"/>
      <c r="D224" s="27" t="str">
        <f>IF(AND('Recession Forecast'!B58&gt;0,'Recession Forecast'!C58&lt;0),'Recession Forecast'!B58,"")</f>
        <v/>
      </c>
      <c r="E224" s="27" t="str">
        <f>IF(AND('Recession Forecast'!C58&gt;0,'Recession Forecast'!D58&lt;0),'Recession Forecast'!C58,"")</f>
        <v/>
      </c>
      <c r="F224" s="27" t="str">
        <f>IF(AND('Recession Forecast'!D58&gt;0,'Recession Forecast'!E58&lt;0),'Recession Forecast'!D58,"")</f>
        <v/>
      </c>
      <c r="G224" s="27" t="str">
        <f>IF(AND('Recession Forecast'!E58&gt;0,'Recession Forecast'!F58&lt;0),'Recession Forecast'!E58,"")</f>
        <v/>
      </c>
      <c r="H224" s="27" t="str">
        <f>IF(AND('Recession Forecast'!F58&gt;0,'Recession Forecast'!G58&lt;0),'Recession Forecast'!F58,"")</f>
        <v/>
      </c>
      <c r="I224" s="27" t="str">
        <f>IF(AND('Recession Forecast'!G58&gt;0,'Recession Forecast'!H58&lt;0),'Recession Forecast'!G58,"")</f>
        <v/>
      </c>
      <c r="J224" s="27" t="str">
        <f>IF(AND('Recession Forecast'!H58&gt;0,'Recession Forecast'!I58&lt;0),'Recession Forecast'!H58,"")</f>
        <v/>
      </c>
      <c r="K224" s="27">
        <f>IF(AND('Recession Forecast'!I58&gt;0,'Recession Forecast'!J58&lt;0),'Recession Forecast'!I58,"")</f>
        <v>75693.539379766211</v>
      </c>
      <c r="L224" s="27" t="str">
        <f>IF(AND('Recession Forecast'!J58&gt;0,'Recession Forecast'!K58&lt;0),'Recession Forecast'!J58,"")</f>
        <v/>
      </c>
      <c r="M224" s="29"/>
      <c r="N224" s="29"/>
      <c r="O224" s="29"/>
      <c r="P224" s="346"/>
      <c r="Q224" s="346"/>
      <c r="R224" s="346"/>
      <c r="S224" s="29"/>
      <c r="T224" s="29"/>
      <c r="U224" s="29"/>
      <c r="V224" s="29"/>
      <c r="W224" s="29"/>
      <c r="X224" s="29"/>
      <c r="Y224" s="29"/>
      <c r="Z224" s="29"/>
      <c r="AA224" s="29"/>
      <c r="AB224" s="29"/>
      <c r="AC224" s="29"/>
      <c r="AD224" s="29"/>
      <c r="AE224" s="29"/>
      <c r="AF224" s="29"/>
      <c r="AG224" s="29"/>
      <c r="AH224" s="29"/>
      <c r="AI224" s="29"/>
      <c r="AJ224" s="29"/>
      <c r="AK224" s="29"/>
      <c r="AL224" s="29"/>
      <c r="AM224" s="29"/>
      <c r="AN224" s="29"/>
    </row>
    <row r="225" spans="1:40">
      <c r="A225" s="29" t="s">
        <v>70</v>
      </c>
      <c r="B225" s="29"/>
      <c r="C225" s="29"/>
      <c r="D225" s="27" t="str">
        <f>IF(AND('Recession Forecast'!B58&gt;0,'Recession Forecast'!C58&lt;0),('Recession Forecast'!C56-'Recession Forecast'!C58)/12,"")</f>
        <v/>
      </c>
      <c r="E225" s="27" t="str">
        <f>IF(AND('Recession Forecast'!C58&gt;0,'Recession Forecast'!D58&lt;0),('Recession Forecast'!D56-'Recession Forecast'!D58)/12,"")</f>
        <v/>
      </c>
      <c r="F225" s="27" t="str">
        <f>IF(AND('Recession Forecast'!D58&gt;0,'Recession Forecast'!E58&lt;0),('Recession Forecast'!E56-'Recession Forecast'!E58)/12,"")</f>
        <v/>
      </c>
      <c r="G225" s="27" t="str">
        <f>IF(AND('Recession Forecast'!E58&gt;0,'Recession Forecast'!F58&lt;0),('Recession Forecast'!F56-'Recession Forecast'!F58)/12,"")</f>
        <v/>
      </c>
      <c r="H225" s="27" t="str">
        <f>IF(AND('Recession Forecast'!F58&gt;0,'Recession Forecast'!G58&lt;0),('Recession Forecast'!G56-'Recession Forecast'!G58)/12,"")</f>
        <v/>
      </c>
      <c r="I225" s="27" t="str">
        <f>IF(AND('Recession Forecast'!G58&gt;0,'Recession Forecast'!H58&lt;0),('Recession Forecast'!H56-'Recession Forecast'!H58)/12,"")</f>
        <v/>
      </c>
      <c r="J225" s="27" t="str">
        <f>IF(AND('Recession Forecast'!H58&gt;0,'Recession Forecast'!I58&lt;0),('Recession Forecast'!I56-'Recession Forecast'!I58)/12,"")</f>
        <v/>
      </c>
      <c r="K225" s="27">
        <f>IF(AND('Recession Forecast'!I58&gt;0,'Recession Forecast'!J58&lt;0),('Recession Forecast'!J56-'Recession Forecast'!J58)/12,"")</f>
        <v>120330.21734006067</v>
      </c>
      <c r="L225" s="27" t="str">
        <f>IF(AND('Recession Forecast'!J58&gt;0,'Recession Forecast'!K58&lt;0),('Recession Forecast'!K56-'Recession Forecast'!K58)/12,"")</f>
        <v/>
      </c>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row>
    <row r="226" spans="1:40">
      <c r="A226" s="29" t="s">
        <v>173</v>
      </c>
      <c r="B226" s="29"/>
      <c r="C226" s="29"/>
      <c r="D226" s="29"/>
      <c r="E226" s="39" t="str">
        <f>IF(Budget_Reduction_FY=E215,Budget_Cut_Amount*1000000/('No Recession Forecast'!D50-'No Recession Forecast'!D47-'No Recession Forecast'!D48),"")</f>
        <v/>
      </c>
      <c r="F226" s="39" t="str">
        <f>IF(Budget_Reduction_FY=F215,Budget_Cut_Amount*1000000/('No Recession Forecast'!E50-'No Recession Forecast'!E47-'No Recession Forecast'!E48),"")</f>
        <v/>
      </c>
      <c r="G226" s="39" t="str">
        <f>IF(Budget_Reduction_FY=G215,Budget_Cut_Amount*1000000/('No Recession Forecast'!F50-'No Recession Forecast'!F47-'No Recession Forecast'!F48),"")</f>
        <v/>
      </c>
      <c r="H226" s="39" t="str">
        <f>IF(Budget_Reduction_FY=H215,Budget_Cut_Amount*1000000/('No Recession Forecast'!G50-'No Recession Forecast'!G47-'No Recession Forecast'!G48),"")</f>
        <v/>
      </c>
      <c r="I226" s="39">
        <f>IF(Budget_Reduction_FY=I215,Budget_Cut_Amount*1000000/('No Recession Forecast'!H50-'No Recession Forecast'!H47-'No Recession Forecast'!H48),"")</f>
        <v>0</v>
      </c>
      <c r="J226" s="39" t="str">
        <f>IF(Budget_Reduction_FY=J215,Budget_Cut_Amount*1000000/('No Recession Forecast'!I50-'No Recession Forecast'!I47-'No Recession Forecast'!I48),"")</f>
        <v/>
      </c>
      <c r="K226" s="39" t="str">
        <f>IF(Budget_Reduction_FY=K215,Budget_Cut_Amount*1000000/('No Recession Forecast'!J50-'No Recession Forecast'!J47-'No Recession Forecast'!J48),"")</f>
        <v/>
      </c>
      <c r="L226" s="39" t="str">
        <f>IF(Budget_Reduction_FY=L215,Budget_Cut_Amount*1000000/('No Recession Forecast'!K50-'No Recession Forecast'!K47-'No Recession Forecast'!K48),"")</f>
        <v/>
      </c>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row>
    <row r="227" spans="1:40" ht="15" thickBot="1">
      <c r="A227" s="29" t="s">
        <v>174</v>
      </c>
      <c r="B227" s="29"/>
      <c r="C227" s="29"/>
      <c r="D227" s="29"/>
      <c r="E227" s="39" t="str">
        <f>IF(Budget_Increase_FY=E215,Budget_Increase_Amount*1000000/('No Recession Forecast'!F50-'No Recession Forecast'!D47-'No Recession Forecast'!D48),"")</f>
        <v/>
      </c>
      <c r="F227" s="39">
        <f>IF(Budget_Increase_FY=F215,Budget_Increase_Amount*1000000/('No Recession Forecast'!G50-'No Recession Forecast'!E47-'No Recession Forecast'!E48),"")</f>
        <v>0</v>
      </c>
      <c r="G227" s="39" t="str">
        <f>IF(Budget_Increase_FY=G215,Budget_Increase_Amount*1000000/('No Recession Forecast'!H50-'No Recession Forecast'!F47-'No Recession Forecast'!F48),"")</f>
        <v/>
      </c>
      <c r="H227" s="39" t="str">
        <f>IF(Budget_Increase_FY=H215,Budget_Increase_Amount*1000000/('No Recession Forecast'!I50-'No Recession Forecast'!G47-'No Recession Forecast'!G48),"")</f>
        <v/>
      </c>
      <c r="I227" s="39" t="str">
        <f>IF(Budget_Increase_FY=I215,Budget_Increase_Amount*1000000/('No Recession Forecast'!J50-'No Recession Forecast'!H47-'No Recession Forecast'!H48),"")</f>
        <v/>
      </c>
      <c r="J227" s="39" t="str">
        <f>IF(Budget_Increase_FY=J215,Budget_Increase_Amount*1000000/('No Recession Forecast'!K50-'No Recession Forecast'!I47-'No Recession Forecast'!I48),"")</f>
        <v/>
      </c>
      <c r="K227" s="39" t="str">
        <f>IF(Budget_Increase_FY=K215,Budget_Increase_Amount*1000000/('No Recession Forecast'!L50-'No Recession Forecast'!J47-'No Recession Forecast'!J48),"")</f>
        <v/>
      </c>
      <c r="L227" s="39" t="str">
        <f>IF(Budget_Increase_FY=L215,Budget_Increase_Amount*1000000/('No Recession Forecast'!M50-'No Recession Forecast'!K47-'No Recession Forecast'!K48),"")</f>
        <v/>
      </c>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row>
    <row r="228" spans="1:40">
      <c r="A228" s="347" t="s">
        <v>74</v>
      </c>
      <c r="B228" s="29"/>
      <c r="C228" s="30" t="s">
        <v>75</v>
      </c>
      <c r="D228" s="31" t="s">
        <v>58</v>
      </c>
      <c r="E228" s="31" t="s">
        <v>59</v>
      </c>
      <c r="F228" s="31" t="s">
        <v>60</v>
      </c>
      <c r="G228" s="31" t="s">
        <v>61</v>
      </c>
      <c r="H228" s="31" t="s">
        <v>62</v>
      </c>
      <c r="I228" s="31" t="s">
        <v>63</v>
      </c>
      <c r="J228" s="31" t="s">
        <v>64</v>
      </c>
      <c r="K228" s="31" t="s">
        <v>65</v>
      </c>
      <c r="L228" s="31" t="s">
        <v>66</v>
      </c>
      <c r="M228" s="31" t="s">
        <v>67</v>
      </c>
      <c r="N228" s="31" t="s">
        <v>68</v>
      </c>
      <c r="O228" s="31" t="s">
        <v>57</v>
      </c>
      <c r="P228" s="30" t="s">
        <v>89</v>
      </c>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row>
    <row r="229" spans="1:40" ht="15.6" thickBot="1">
      <c r="A229" s="29" t="s">
        <v>90</v>
      </c>
      <c r="B229" s="29"/>
      <c r="C229" s="32">
        <f>MAX(D224:L224)</f>
        <v>75693.539379766211</v>
      </c>
      <c r="D229" s="33">
        <f t="shared" ref="D229:O229" si="35">C229-MAX($C225:$L225)</f>
        <v>-44636.677960294459</v>
      </c>
      <c r="E229" s="33">
        <f t="shared" si="35"/>
        <v>-164966.89530035513</v>
      </c>
      <c r="F229" s="33">
        <f t="shared" si="35"/>
        <v>-285297.11264041578</v>
      </c>
      <c r="G229" s="33">
        <f t="shared" si="35"/>
        <v>-405627.32998047647</v>
      </c>
      <c r="H229" s="33">
        <f t="shared" si="35"/>
        <v>-525957.54732053715</v>
      </c>
      <c r="I229" s="33">
        <f t="shared" si="35"/>
        <v>-646287.76466059778</v>
      </c>
      <c r="J229" s="33">
        <f t="shared" si="35"/>
        <v>-766617.98200065841</v>
      </c>
      <c r="K229" s="33">
        <f t="shared" si="35"/>
        <v>-886948.19934071903</v>
      </c>
      <c r="L229" s="33">
        <f t="shared" si="35"/>
        <v>-1007278.4166807797</v>
      </c>
      <c r="M229" s="33">
        <f t="shared" si="35"/>
        <v>-1127608.6340208403</v>
      </c>
      <c r="N229" s="33">
        <f t="shared" si="35"/>
        <v>-1247938.851360901</v>
      </c>
      <c r="O229" s="33">
        <f t="shared" si="35"/>
        <v>-1368269.0687009618</v>
      </c>
      <c r="P229" s="32">
        <f>C229-MAX($C225:$L225)*12</f>
        <v>-1368269.0687009618</v>
      </c>
      <c r="Q229" s="29">
        <v>5</v>
      </c>
      <c r="R229" s="348"/>
      <c r="S229" s="29"/>
      <c r="T229" s="29"/>
      <c r="U229" s="29"/>
      <c r="V229" s="29"/>
      <c r="W229" s="29"/>
      <c r="X229" s="29"/>
      <c r="Y229" s="29"/>
      <c r="Z229" s="29"/>
      <c r="AA229" s="29"/>
      <c r="AB229" s="29"/>
      <c r="AC229" s="29"/>
      <c r="AD229" s="29"/>
      <c r="AE229" s="29"/>
      <c r="AF229" s="29"/>
      <c r="AG229" s="29"/>
      <c r="AH229" s="29"/>
      <c r="AI229" s="29"/>
      <c r="AJ229" s="29"/>
      <c r="AK229" s="29"/>
      <c r="AL229" s="29"/>
      <c r="AM229" s="29"/>
      <c r="AN229" s="29"/>
    </row>
    <row r="230" spans="1:40" ht="15" thickBot="1">
      <c r="A230" s="29" t="s">
        <v>76</v>
      </c>
      <c r="B230" s="29"/>
      <c r="C230" s="34" t="e">
        <f>IF(D230&lt;&gt;"",D230,IF(E230&lt;&gt;"",E230,IF(F230&lt;&gt;"",F230,IF(G230&lt;&gt;"",G230,IF(H230&lt;&gt;"",H230,IF(I230&lt;&gt;"",I230,IF(J230&lt;&gt;"",J230,IF(K230&lt;&gt;"",K230,IF(L230&lt;&gt;"",L230,IF(M230&lt;&gt;"",M230,IF(N230&lt;&gt;"",N230,IF(O230&lt;&gt;"",O230,""))))))))))))</f>
        <v>#VALUE!</v>
      </c>
      <c r="D230" s="35" t="e">
        <f t="shared" ref="D230:I230" si="36">IF(AND(C229&gt;0,D229&lt;0),D228&amp;"-"&amp;TEXT(MAX($D223:$L223),"##"),"")</f>
        <v>#VALUE!</v>
      </c>
      <c r="E230" s="35" t="str">
        <f t="shared" si="36"/>
        <v/>
      </c>
      <c r="F230" s="35" t="str">
        <f t="shared" si="36"/>
        <v/>
      </c>
      <c r="G230" s="35" t="str">
        <f t="shared" si="36"/>
        <v/>
      </c>
      <c r="H230" s="35" t="str">
        <f t="shared" si="36"/>
        <v/>
      </c>
      <c r="I230" s="35" t="str">
        <f t="shared" si="36"/>
        <v/>
      </c>
      <c r="J230" s="36" t="str">
        <f t="shared" ref="J230:O230" si="37">IF(AND(I229&gt;0,J229&lt;0),J228&amp;"-"&amp;TEXT(MAX($D223:$L223)+1,"##"),"")</f>
        <v/>
      </c>
      <c r="K230" s="36" t="str">
        <f t="shared" si="37"/>
        <v/>
      </c>
      <c r="L230" s="36" t="str">
        <f t="shared" si="37"/>
        <v/>
      </c>
      <c r="M230" s="36" t="str">
        <f t="shared" si="37"/>
        <v/>
      </c>
      <c r="N230" s="36" t="str">
        <f t="shared" si="37"/>
        <v/>
      </c>
      <c r="O230" s="36" t="str">
        <f t="shared" si="37"/>
        <v/>
      </c>
      <c r="P230" s="29"/>
      <c r="Q230" s="29">
        <v>1</v>
      </c>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row>
    <row r="231" spans="1:40">
      <c r="A231" s="29"/>
      <c r="B231" s="29"/>
      <c r="C231" s="349"/>
      <c r="D231" s="349"/>
      <c r="E231" s="349"/>
      <c r="F231" s="349"/>
      <c r="G231" s="349"/>
      <c r="H231" s="349"/>
      <c r="I231" s="349"/>
      <c r="J231" s="349"/>
      <c r="K231" s="349"/>
      <c r="L231" s="349"/>
      <c r="M231" s="349"/>
      <c r="N231" s="349"/>
      <c r="O231" s="349"/>
      <c r="P231" s="350" t="s">
        <v>341</v>
      </c>
      <c r="Q231" s="303">
        <v>1</v>
      </c>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row>
    <row r="232" spans="1:40">
      <c r="A232" s="29"/>
      <c r="B232" s="29"/>
      <c r="C232" s="29"/>
      <c r="D232" s="29"/>
      <c r="E232" s="29"/>
      <c r="F232" s="29"/>
      <c r="G232" s="29"/>
      <c r="H232" s="29"/>
      <c r="I232" s="29"/>
      <c r="J232" s="29"/>
      <c r="K232" s="29"/>
      <c r="L232" s="29"/>
      <c r="M232" s="29"/>
      <c r="N232" s="29"/>
      <c r="O232" s="29"/>
      <c r="P232" s="351" t="s">
        <v>342</v>
      </c>
      <c r="Q232" s="352">
        <v>1</v>
      </c>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row>
    <row r="233" spans="1:40">
      <c r="A233" s="29"/>
      <c r="B233" s="29"/>
      <c r="C233" s="29"/>
      <c r="D233" s="29"/>
      <c r="E233" s="29"/>
      <c r="F233" s="29"/>
      <c r="G233" s="29"/>
      <c r="H233" s="29"/>
      <c r="I233" s="29"/>
      <c r="J233" s="29"/>
      <c r="K233" s="29"/>
      <c r="L233" s="29"/>
      <c r="M233" s="29"/>
      <c r="N233" s="29"/>
      <c r="O233" s="29"/>
      <c r="P233" s="351" t="s">
        <v>343</v>
      </c>
      <c r="Q233" s="353"/>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row>
    <row r="234" spans="1:40">
      <c r="A234" s="29"/>
      <c r="B234" s="29"/>
      <c r="C234" s="29"/>
      <c r="D234" s="29"/>
      <c r="E234" s="29"/>
      <c r="F234" s="29"/>
      <c r="G234" s="29"/>
      <c r="H234" s="29"/>
      <c r="I234" s="29"/>
      <c r="J234" s="29"/>
      <c r="K234" s="29"/>
      <c r="L234" s="29"/>
      <c r="M234" s="29"/>
      <c r="N234" s="29"/>
      <c r="O234" s="29"/>
      <c r="P234" s="351" t="s">
        <v>344</v>
      </c>
      <c r="Q234" s="353"/>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row>
    <row r="235" spans="1:40">
      <c r="A235" s="29"/>
      <c r="B235" s="29"/>
      <c r="C235" s="29"/>
      <c r="D235" s="29"/>
      <c r="E235" s="29"/>
      <c r="F235" s="29"/>
      <c r="G235" s="29"/>
      <c r="H235" s="29"/>
      <c r="I235" s="29"/>
      <c r="J235" s="29"/>
      <c r="K235" s="29"/>
      <c r="L235" s="29"/>
      <c r="M235" s="29"/>
      <c r="N235" s="29"/>
      <c r="O235" s="29"/>
      <c r="P235" s="351" t="s">
        <v>345</v>
      </c>
      <c r="Q235" s="353"/>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row>
    <row r="236" spans="1:40">
      <c r="A236" s="29"/>
      <c r="B236" s="29"/>
      <c r="C236" s="29"/>
      <c r="D236" s="29"/>
      <c r="E236" s="29"/>
      <c r="F236" s="29"/>
      <c r="G236" s="29"/>
      <c r="H236" s="29"/>
      <c r="I236" s="29"/>
      <c r="J236" s="29"/>
      <c r="K236" s="29"/>
      <c r="L236" s="29"/>
      <c r="M236" s="29"/>
      <c r="N236" s="29"/>
      <c r="O236" s="29"/>
      <c r="P236" s="351" t="s">
        <v>346</v>
      </c>
      <c r="Q236" s="353"/>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row>
    <row r="237" spans="1:40">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row>
    <row r="238" spans="1:40">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row>
    <row r="239" spans="1:40">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row>
    <row r="240" spans="1:40">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row>
    <row r="241" spans="1:40">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row>
    <row r="242" spans="1:40">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row>
    <row r="243" spans="1:40">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row>
    <row r="244" spans="1:40">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row>
    <row r="245" spans="1:40">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row>
    <row r="246" spans="1:40">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row>
    <row r="247" spans="1:40">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row>
    <row r="248" spans="1:40">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row>
    <row r="249" spans="1:40">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row>
    <row r="250" spans="1:40">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row>
    <row r="251" spans="1:40">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row>
    <row r="252" spans="1:40">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row>
    <row r="253" spans="1:40">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row>
    <row r="254" spans="1:40">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row>
    <row r="255" spans="1:40">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row>
    <row r="256" spans="1:40">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row>
    <row r="257" spans="1:40">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row>
    <row r="258" spans="1:40">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row>
    <row r="259" spans="1:40">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row>
    <row r="260" spans="1:40">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row>
    <row r="261" spans="1:40">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row>
    <row r="262" spans="1:40">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row>
    <row r="263" spans="1:40">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row>
    <row r="264" spans="1:40">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row>
    <row r="265" spans="1:40">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row>
    <row r="266" spans="1:40">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row>
    <row r="267" spans="1:40">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row>
    <row r="268" spans="1:40">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row>
    <row r="269" spans="1:40">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row>
    <row r="270" spans="1:40">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row>
    <row r="271" spans="1:40">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row>
    <row r="272" spans="1:40">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row>
    <row r="273" spans="1:49">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row>
    <row r="274" spans="1:49">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row>
    <row r="275" spans="1:49">
      <c r="A275" s="354"/>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c r="AJ275" s="354"/>
      <c r="AK275" s="354"/>
      <c r="AL275" s="354"/>
      <c r="AM275" s="354"/>
      <c r="AN275" s="354"/>
      <c r="AO275" s="354"/>
      <c r="AP275" s="354"/>
      <c r="AQ275" s="354"/>
      <c r="AR275" s="354"/>
      <c r="AS275" s="354"/>
      <c r="AT275" s="354"/>
      <c r="AU275" s="354"/>
      <c r="AV275" s="354"/>
      <c r="AW275" s="354"/>
    </row>
    <row r="276" spans="1:49">
      <c r="A276" s="354"/>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c r="AL276" s="354"/>
      <c r="AM276" s="354"/>
      <c r="AN276" s="354"/>
      <c r="AO276" s="354"/>
      <c r="AP276" s="354"/>
      <c r="AQ276" s="354"/>
      <c r="AR276" s="354"/>
      <c r="AS276" s="354"/>
      <c r="AT276" s="354"/>
      <c r="AU276" s="354"/>
      <c r="AV276" s="354"/>
      <c r="AW276" s="354"/>
    </row>
    <row r="277" spans="1:49">
      <c r="A277" s="354"/>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c r="AJ277" s="354"/>
      <c r="AK277" s="354"/>
      <c r="AL277" s="354"/>
      <c r="AM277" s="354"/>
      <c r="AN277" s="354"/>
      <c r="AO277" s="354"/>
      <c r="AP277" s="354"/>
      <c r="AQ277" s="354"/>
      <c r="AR277" s="354"/>
      <c r="AS277" s="354"/>
      <c r="AT277" s="354"/>
      <c r="AU277" s="354"/>
      <c r="AV277" s="354"/>
      <c r="AW277" s="354"/>
    </row>
    <row r="278" spans="1:49">
      <c r="A278" s="354"/>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row>
    <row r="279" spans="1:49">
      <c r="A279" s="354"/>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4"/>
      <c r="AJ279" s="354"/>
      <c r="AK279" s="354"/>
      <c r="AL279" s="354"/>
      <c r="AM279" s="354"/>
      <c r="AN279" s="354"/>
      <c r="AO279" s="354"/>
      <c r="AP279" s="354"/>
      <c r="AQ279" s="354"/>
      <c r="AR279" s="354"/>
      <c r="AS279" s="354"/>
      <c r="AT279" s="354"/>
      <c r="AU279" s="354"/>
      <c r="AV279" s="354"/>
      <c r="AW279" s="354"/>
    </row>
    <row r="280" spans="1:49">
      <c r="A280" s="354"/>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c r="AJ280" s="354"/>
      <c r="AK280" s="354"/>
      <c r="AL280" s="354"/>
      <c r="AM280" s="354"/>
      <c r="AN280" s="354"/>
      <c r="AO280" s="354"/>
      <c r="AP280" s="354"/>
      <c r="AQ280" s="354"/>
      <c r="AR280" s="354"/>
      <c r="AS280" s="354"/>
      <c r="AT280" s="354"/>
      <c r="AU280" s="354"/>
      <c r="AV280" s="354"/>
      <c r="AW280" s="354"/>
    </row>
    <row r="281" spans="1:49">
      <c r="A281" s="354"/>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row>
    <row r="282" spans="1:49">
      <c r="A282" s="354"/>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row>
    <row r="283" spans="1:49">
      <c r="A283" s="354"/>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c r="AJ283" s="354"/>
      <c r="AK283" s="354"/>
      <c r="AL283" s="354"/>
      <c r="AM283" s="354"/>
      <c r="AN283" s="354"/>
      <c r="AO283" s="354"/>
      <c r="AP283" s="354"/>
      <c r="AQ283" s="354"/>
      <c r="AR283" s="354"/>
      <c r="AS283" s="354"/>
      <c r="AT283" s="354"/>
      <c r="AU283" s="354"/>
      <c r="AV283" s="354"/>
      <c r="AW283" s="354"/>
    </row>
    <row r="284" spans="1:49">
      <c r="A284" s="354"/>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c r="AJ284" s="354"/>
      <c r="AK284" s="354"/>
      <c r="AL284" s="354"/>
      <c r="AM284" s="354"/>
      <c r="AN284" s="354"/>
      <c r="AO284" s="354"/>
      <c r="AP284" s="354"/>
      <c r="AQ284" s="354"/>
      <c r="AR284" s="354"/>
      <c r="AS284" s="354"/>
      <c r="AT284" s="354"/>
      <c r="AU284" s="354"/>
      <c r="AV284" s="354"/>
      <c r="AW284" s="354"/>
    </row>
    <row r="285" spans="1:49">
      <c r="A285" s="354"/>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c r="AK285" s="354"/>
      <c r="AL285" s="354"/>
      <c r="AM285" s="354"/>
      <c r="AN285" s="354"/>
      <c r="AO285" s="354"/>
      <c r="AP285" s="354"/>
      <c r="AQ285" s="354"/>
      <c r="AR285" s="354"/>
      <c r="AS285" s="354"/>
      <c r="AT285" s="354"/>
      <c r="AU285" s="354"/>
      <c r="AV285" s="354"/>
      <c r="AW285" s="354"/>
    </row>
    <row r="286" spans="1:49">
      <c r="A286" s="354"/>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c r="AK286" s="354"/>
      <c r="AL286" s="354"/>
      <c r="AM286" s="354"/>
      <c r="AN286" s="354"/>
      <c r="AO286" s="354"/>
      <c r="AP286" s="354"/>
      <c r="AQ286" s="354"/>
      <c r="AR286" s="354"/>
      <c r="AS286" s="354"/>
      <c r="AT286" s="354"/>
      <c r="AU286" s="354"/>
      <c r="AV286" s="354"/>
      <c r="AW286" s="354"/>
    </row>
    <row r="287" spans="1:49">
      <c r="A287" s="354"/>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c r="AK287" s="354"/>
      <c r="AL287" s="354"/>
      <c r="AM287" s="354"/>
      <c r="AN287" s="354"/>
      <c r="AO287" s="354"/>
      <c r="AP287" s="354"/>
      <c r="AQ287" s="354"/>
      <c r="AR287" s="354"/>
      <c r="AS287" s="354"/>
      <c r="AT287" s="354"/>
      <c r="AU287" s="354"/>
      <c r="AV287" s="354"/>
      <c r="AW287" s="354"/>
    </row>
    <row r="288" spans="1:49">
      <c r="A288" s="354"/>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c r="AJ288" s="354"/>
      <c r="AK288" s="354"/>
      <c r="AL288" s="354"/>
      <c r="AM288" s="354"/>
      <c r="AN288" s="354"/>
      <c r="AO288" s="354"/>
      <c r="AP288" s="354"/>
      <c r="AQ288" s="354"/>
      <c r="AR288" s="354"/>
      <c r="AS288" s="354"/>
      <c r="AT288" s="354"/>
      <c r="AU288" s="354"/>
      <c r="AV288" s="354"/>
      <c r="AW288" s="354"/>
    </row>
    <row r="289" spans="1:49">
      <c r="A289" s="354"/>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c r="AJ289" s="354"/>
      <c r="AK289" s="354"/>
      <c r="AL289" s="354"/>
      <c r="AM289" s="354"/>
      <c r="AN289" s="354"/>
      <c r="AO289" s="354"/>
      <c r="AP289" s="354"/>
      <c r="AQ289" s="354"/>
      <c r="AR289" s="354"/>
      <c r="AS289" s="354"/>
      <c r="AT289" s="354"/>
      <c r="AU289" s="354"/>
      <c r="AV289" s="354"/>
      <c r="AW289" s="354"/>
    </row>
    <row r="290" spans="1:49">
      <c r="A290" s="354"/>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row>
    <row r="291" spans="1:49">
      <c r="A291" s="354"/>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c r="AK291" s="354"/>
      <c r="AL291" s="354"/>
      <c r="AM291" s="354"/>
      <c r="AN291" s="354"/>
      <c r="AO291" s="354"/>
      <c r="AP291" s="354"/>
      <c r="AQ291" s="354"/>
      <c r="AR291" s="354"/>
      <c r="AS291" s="354"/>
      <c r="AT291" s="354"/>
      <c r="AU291" s="354"/>
      <c r="AV291" s="354"/>
      <c r="AW291" s="354"/>
    </row>
    <row r="292" spans="1:49">
      <c r="A292" s="354"/>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row>
    <row r="293" spans="1:49">
      <c r="A293" s="354"/>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c r="AL293" s="354"/>
      <c r="AM293" s="354"/>
      <c r="AN293" s="354"/>
      <c r="AO293" s="354"/>
      <c r="AP293" s="354"/>
      <c r="AQ293" s="354"/>
      <c r="AR293" s="354"/>
      <c r="AS293" s="354"/>
      <c r="AT293" s="354"/>
      <c r="AU293" s="354"/>
      <c r="AV293" s="354"/>
      <c r="AW293" s="354"/>
    </row>
    <row r="294" spans="1:49">
      <c r="A294" s="354"/>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c r="AL294" s="354"/>
      <c r="AM294" s="354"/>
      <c r="AN294" s="354"/>
      <c r="AO294" s="354"/>
      <c r="AP294" s="354"/>
      <c r="AQ294" s="354"/>
      <c r="AR294" s="354"/>
      <c r="AS294" s="354"/>
      <c r="AT294" s="354"/>
      <c r="AU294" s="354"/>
      <c r="AV294" s="354"/>
      <c r="AW294" s="354"/>
    </row>
    <row r="295" spans="1:49">
      <c r="A295" s="354"/>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c r="AL295" s="354"/>
      <c r="AM295" s="354"/>
      <c r="AN295" s="354"/>
      <c r="AO295" s="354"/>
      <c r="AP295" s="354"/>
      <c r="AQ295" s="354"/>
      <c r="AR295" s="354"/>
      <c r="AS295" s="354"/>
      <c r="AT295" s="354"/>
      <c r="AU295" s="354"/>
      <c r="AV295" s="354"/>
      <c r="AW295" s="354"/>
    </row>
    <row r="296" spans="1:49">
      <c r="A296" s="354"/>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c r="AL296" s="354"/>
      <c r="AM296" s="354"/>
      <c r="AN296" s="354"/>
      <c r="AO296" s="354"/>
      <c r="AP296" s="354"/>
      <c r="AQ296" s="354"/>
      <c r="AR296" s="354"/>
      <c r="AS296" s="354"/>
      <c r="AT296" s="354"/>
      <c r="AU296" s="354"/>
      <c r="AV296" s="354"/>
      <c r="AW296" s="354"/>
    </row>
    <row r="297" spans="1:49">
      <c r="A297" s="354"/>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c r="AL297" s="354"/>
      <c r="AM297" s="354"/>
      <c r="AN297" s="354"/>
      <c r="AO297" s="354"/>
      <c r="AP297" s="354"/>
      <c r="AQ297" s="354"/>
      <c r="AR297" s="354"/>
      <c r="AS297" s="354"/>
      <c r="AT297" s="354"/>
      <c r="AU297" s="354"/>
      <c r="AV297" s="354"/>
      <c r="AW297" s="354"/>
    </row>
    <row r="298" spans="1:49">
      <c r="A298" s="354"/>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c r="AK298" s="354"/>
      <c r="AL298" s="354"/>
      <c r="AM298" s="354"/>
      <c r="AN298" s="354"/>
      <c r="AO298" s="354"/>
      <c r="AP298" s="354"/>
      <c r="AQ298" s="354"/>
      <c r="AR298" s="354"/>
      <c r="AS298" s="354"/>
      <c r="AT298" s="354"/>
      <c r="AU298" s="354"/>
      <c r="AV298" s="354"/>
      <c r="AW298" s="354"/>
    </row>
    <row r="299" spans="1:49">
      <c r="A299" s="354"/>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c r="AK299" s="354"/>
      <c r="AL299" s="354"/>
      <c r="AM299" s="354"/>
      <c r="AN299" s="354"/>
      <c r="AO299" s="354"/>
      <c r="AP299" s="354"/>
      <c r="AQ299" s="354"/>
      <c r="AR299" s="354"/>
      <c r="AS299" s="354"/>
      <c r="AT299" s="354"/>
      <c r="AU299" s="354"/>
      <c r="AV299" s="354"/>
      <c r="AW299" s="354"/>
    </row>
    <row r="300" spans="1:49">
      <c r="A300" s="354"/>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c r="AJ300" s="354"/>
      <c r="AK300" s="354"/>
      <c r="AL300" s="354"/>
      <c r="AM300" s="354"/>
      <c r="AN300" s="354"/>
      <c r="AO300" s="354"/>
      <c r="AP300" s="354"/>
      <c r="AQ300" s="354"/>
      <c r="AR300" s="354"/>
      <c r="AS300" s="354"/>
      <c r="AT300" s="354"/>
      <c r="AU300" s="354"/>
      <c r="AV300" s="354"/>
      <c r="AW300" s="354"/>
    </row>
    <row r="301" spans="1:49">
      <c r="A301" s="354"/>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c r="AK301" s="354"/>
      <c r="AL301" s="354"/>
      <c r="AM301" s="354"/>
      <c r="AN301" s="354"/>
      <c r="AO301" s="354"/>
      <c r="AP301" s="354"/>
      <c r="AQ301" s="354"/>
      <c r="AR301" s="354"/>
      <c r="AS301" s="354"/>
      <c r="AT301" s="354"/>
      <c r="AU301" s="354"/>
      <c r="AV301" s="354"/>
      <c r="AW301" s="354"/>
    </row>
    <row r="302" spans="1:49">
      <c r="A302" s="354"/>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row>
    <row r="303" spans="1:49">
      <c r="A303" s="354"/>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c r="AJ303" s="354"/>
      <c r="AK303" s="354"/>
      <c r="AL303" s="354"/>
      <c r="AM303" s="354"/>
      <c r="AN303" s="354"/>
      <c r="AO303" s="354"/>
      <c r="AP303" s="354"/>
      <c r="AQ303" s="354"/>
      <c r="AR303" s="354"/>
      <c r="AS303" s="354"/>
      <c r="AT303" s="354"/>
      <c r="AU303" s="354"/>
      <c r="AV303" s="354"/>
      <c r="AW303" s="354"/>
    </row>
    <row r="304" spans="1:49">
      <c r="A304" s="354"/>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c r="AJ304" s="354"/>
      <c r="AK304" s="354"/>
      <c r="AL304" s="354"/>
      <c r="AM304" s="354"/>
      <c r="AN304" s="354"/>
      <c r="AO304" s="354"/>
      <c r="AP304" s="354"/>
      <c r="AQ304" s="354"/>
      <c r="AR304" s="354"/>
      <c r="AS304" s="354"/>
      <c r="AT304" s="354"/>
      <c r="AU304" s="354"/>
      <c r="AV304" s="354"/>
      <c r="AW304" s="354"/>
    </row>
    <row r="305" spans="1:49">
      <c r="A305" s="354"/>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c r="AJ305" s="354"/>
      <c r="AK305" s="354"/>
      <c r="AL305" s="354"/>
      <c r="AM305" s="354"/>
      <c r="AN305" s="354"/>
      <c r="AO305" s="354"/>
      <c r="AP305" s="354"/>
      <c r="AQ305" s="354"/>
      <c r="AR305" s="354"/>
      <c r="AS305" s="354"/>
      <c r="AT305" s="354"/>
      <c r="AU305" s="354"/>
      <c r="AV305" s="354"/>
      <c r="AW305" s="354"/>
    </row>
    <row r="306" spans="1:49">
      <c r="A306" s="354"/>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c r="AK306" s="354"/>
      <c r="AL306" s="354"/>
      <c r="AM306" s="354"/>
      <c r="AN306" s="354"/>
      <c r="AO306" s="354"/>
      <c r="AP306" s="354"/>
      <c r="AQ306" s="354"/>
      <c r="AR306" s="354"/>
      <c r="AS306" s="354"/>
      <c r="AT306" s="354"/>
      <c r="AU306" s="354"/>
      <c r="AV306" s="354"/>
      <c r="AW306" s="354"/>
    </row>
    <row r="307" spans="1:49">
      <c r="A307" s="354"/>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c r="AJ307" s="354"/>
      <c r="AK307" s="354"/>
      <c r="AL307" s="354"/>
      <c r="AM307" s="354"/>
      <c r="AN307" s="354"/>
      <c r="AO307" s="354"/>
      <c r="AP307" s="354"/>
      <c r="AQ307" s="354"/>
      <c r="AR307" s="354"/>
      <c r="AS307" s="354"/>
      <c r="AT307" s="354"/>
      <c r="AU307" s="354"/>
      <c r="AV307" s="354"/>
      <c r="AW307" s="354"/>
    </row>
    <row r="308" spans="1:49">
      <c r="A308" s="354"/>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row>
    <row r="309" spans="1:49">
      <c r="A309" s="354"/>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c r="AK309" s="354"/>
      <c r="AL309" s="354"/>
      <c r="AM309" s="354"/>
      <c r="AN309" s="354"/>
      <c r="AO309" s="354"/>
      <c r="AP309" s="354"/>
      <c r="AQ309" s="354"/>
      <c r="AR309" s="354"/>
      <c r="AS309" s="354"/>
      <c r="AT309" s="354"/>
      <c r="AU309" s="354"/>
      <c r="AV309" s="354"/>
      <c r="AW309" s="354"/>
    </row>
    <row r="310" spans="1:49">
      <c r="A310" s="354"/>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54"/>
      <c r="AE310" s="354"/>
      <c r="AF310" s="354"/>
      <c r="AG310" s="354"/>
      <c r="AH310" s="354"/>
      <c r="AI310" s="354"/>
      <c r="AJ310" s="354"/>
      <c r="AK310" s="354"/>
      <c r="AL310" s="354"/>
      <c r="AM310" s="354"/>
      <c r="AN310" s="354"/>
      <c r="AO310" s="354"/>
      <c r="AP310" s="354"/>
      <c r="AQ310" s="354"/>
      <c r="AR310" s="354"/>
      <c r="AS310" s="354"/>
      <c r="AT310" s="354"/>
      <c r="AU310" s="354"/>
      <c r="AV310" s="354"/>
      <c r="AW310" s="354"/>
    </row>
    <row r="311" spans="1:49">
      <c r="A311" s="354"/>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c r="AK311" s="354"/>
      <c r="AL311" s="354"/>
      <c r="AM311" s="354"/>
      <c r="AN311" s="354"/>
      <c r="AO311" s="354"/>
      <c r="AP311" s="354"/>
      <c r="AQ311" s="354"/>
      <c r="AR311" s="354"/>
      <c r="AS311" s="354"/>
      <c r="AT311" s="354"/>
      <c r="AU311" s="354"/>
      <c r="AV311" s="354"/>
      <c r="AW311" s="354"/>
    </row>
    <row r="312" spans="1:49">
      <c r="A312" s="354"/>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row>
    <row r="313" spans="1:49">
      <c r="A313" s="354"/>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c r="AL313" s="354"/>
      <c r="AM313" s="354"/>
      <c r="AN313" s="354"/>
      <c r="AO313" s="354"/>
      <c r="AP313" s="354"/>
      <c r="AQ313" s="354"/>
      <c r="AR313" s="354"/>
      <c r="AS313" s="354"/>
      <c r="AT313" s="354"/>
      <c r="AU313" s="354"/>
      <c r="AV313" s="354"/>
      <c r="AW313" s="354"/>
    </row>
    <row r="314" spans="1:49">
      <c r="A314" s="354"/>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row>
    <row r="315" spans="1:49">
      <c r="A315" s="354"/>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c r="AK315" s="354"/>
      <c r="AL315" s="354"/>
      <c r="AM315" s="354"/>
      <c r="AN315" s="354"/>
      <c r="AO315" s="354"/>
      <c r="AP315" s="354"/>
      <c r="AQ315" s="354"/>
      <c r="AR315" s="354"/>
      <c r="AS315" s="354"/>
      <c r="AT315" s="354"/>
      <c r="AU315" s="354"/>
      <c r="AV315" s="354"/>
      <c r="AW315" s="354"/>
    </row>
    <row r="316" spans="1:49">
      <c r="A316" s="354"/>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54"/>
      <c r="AE316" s="354"/>
      <c r="AF316" s="354"/>
      <c r="AG316" s="354"/>
      <c r="AH316" s="354"/>
      <c r="AI316" s="354"/>
      <c r="AJ316" s="354"/>
      <c r="AK316" s="354"/>
      <c r="AL316" s="354"/>
      <c r="AM316" s="354"/>
      <c r="AN316" s="354"/>
      <c r="AO316" s="354"/>
      <c r="AP316" s="354"/>
      <c r="AQ316" s="354"/>
      <c r="AR316" s="354"/>
      <c r="AS316" s="354"/>
      <c r="AT316" s="354"/>
      <c r="AU316" s="354"/>
      <c r="AV316" s="354"/>
      <c r="AW316" s="354"/>
    </row>
    <row r="317" spans="1:49">
      <c r="A317" s="354"/>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row>
    <row r="318" spans="1:49">
      <c r="A318" s="354"/>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54"/>
      <c r="AW318" s="354"/>
    </row>
    <row r="319" spans="1:49">
      <c r="A319" s="354"/>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54"/>
      <c r="AE319" s="354"/>
      <c r="AF319" s="354"/>
      <c r="AG319" s="354"/>
      <c r="AH319" s="354"/>
      <c r="AI319" s="354"/>
      <c r="AJ319" s="354"/>
      <c r="AK319" s="354"/>
      <c r="AL319" s="354"/>
      <c r="AM319" s="354"/>
      <c r="AN319" s="354"/>
      <c r="AO319" s="354"/>
      <c r="AP319" s="354"/>
      <c r="AQ319" s="354"/>
      <c r="AR319" s="354"/>
      <c r="AS319" s="354"/>
      <c r="AT319" s="354"/>
      <c r="AU319" s="354"/>
      <c r="AV319" s="354"/>
      <c r="AW319" s="354"/>
    </row>
    <row r="320" spans="1:49">
      <c r="A320" s="354"/>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c r="AJ320" s="354"/>
      <c r="AK320" s="354"/>
      <c r="AL320" s="354"/>
      <c r="AM320" s="354"/>
      <c r="AN320" s="354"/>
      <c r="AO320" s="354"/>
      <c r="AP320" s="354"/>
      <c r="AQ320" s="354"/>
      <c r="AR320" s="354"/>
      <c r="AS320" s="354"/>
      <c r="AT320" s="354"/>
      <c r="AU320" s="354"/>
      <c r="AV320" s="354"/>
      <c r="AW320" s="354"/>
    </row>
    <row r="321" spans="1:49">
      <c r="A321" s="354"/>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c r="AK321" s="354"/>
      <c r="AL321" s="354"/>
      <c r="AM321" s="354"/>
      <c r="AN321" s="354"/>
      <c r="AO321" s="354"/>
      <c r="AP321" s="354"/>
      <c r="AQ321" s="354"/>
      <c r="AR321" s="354"/>
      <c r="AS321" s="354"/>
      <c r="AT321" s="354"/>
      <c r="AU321" s="354"/>
      <c r="AV321" s="354"/>
      <c r="AW321" s="354"/>
    </row>
    <row r="322" spans="1:49">
      <c r="A322" s="354"/>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row>
    <row r="323" spans="1:49">
      <c r="A323" s="354"/>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54"/>
      <c r="AE323" s="354"/>
      <c r="AF323" s="354"/>
      <c r="AG323" s="354"/>
      <c r="AH323" s="354"/>
      <c r="AI323" s="354"/>
      <c r="AJ323" s="354"/>
      <c r="AK323" s="354"/>
      <c r="AL323" s="354"/>
      <c r="AM323" s="354"/>
      <c r="AN323" s="354"/>
      <c r="AO323" s="354"/>
      <c r="AP323" s="354"/>
      <c r="AQ323" s="354"/>
      <c r="AR323" s="354"/>
      <c r="AS323" s="354"/>
      <c r="AT323" s="354"/>
      <c r="AU323" s="354"/>
      <c r="AV323" s="354"/>
      <c r="AW323" s="354"/>
    </row>
    <row r="324" spans="1:49">
      <c r="A324" s="354"/>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54"/>
      <c r="AE324" s="354"/>
      <c r="AF324" s="354"/>
      <c r="AG324" s="354"/>
      <c r="AH324" s="354"/>
      <c r="AI324" s="354"/>
      <c r="AJ324" s="354"/>
      <c r="AK324" s="354"/>
      <c r="AL324" s="354"/>
      <c r="AM324" s="354"/>
      <c r="AN324" s="354"/>
      <c r="AO324" s="354"/>
      <c r="AP324" s="354"/>
      <c r="AQ324" s="354"/>
      <c r="AR324" s="354"/>
      <c r="AS324" s="354"/>
      <c r="AT324" s="354"/>
      <c r="AU324" s="354"/>
      <c r="AV324" s="354"/>
      <c r="AW324" s="354"/>
    </row>
    <row r="325" spans="1:49">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row>
    <row r="326" spans="1:49">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row>
    <row r="327" spans="1:49">
      <c r="A327" s="354"/>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row>
    <row r="328" spans="1:49">
      <c r="A328" s="354"/>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54"/>
      <c r="AE328" s="354"/>
      <c r="AF328" s="354"/>
      <c r="AG328" s="354"/>
      <c r="AH328" s="354"/>
      <c r="AI328" s="354"/>
      <c r="AJ328" s="354"/>
      <c r="AK328" s="354"/>
      <c r="AL328" s="354"/>
      <c r="AM328" s="354"/>
      <c r="AN328" s="354"/>
      <c r="AO328" s="354"/>
      <c r="AP328" s="354"/>
      <c r="AQ328" s="354"/>
      <c r="AR328" s="354"/>
      <c r="AS328" s="354"/>
      <c r="AT328" s="354"/>
      <c r="AU328" s="354"/>
      <c r="AV328" s="354"/>
      <c r="AW328" s="354"/>
    </row>
    <row r="329" spans="1:49">
      <c r="A329" s="354"/>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54"/>
      <c r="AE329" s="354"/>
      <c r="AF329" s="354"/>
      <c r="AG329" s="354"/>
      <c r="AH329" s="354"/>
      <c r="AI329" s="354"/>
      <c r="AJ329" s="354"/>
      <c r="AK329" s="354"/>
      <c r="AL329" s="354"/>
      <c r="AM329" s="354"/>
      <c r="AN329" s="354"/>
      <c r="AO329" s="354"/>
      <c r="AP329" s="354"/>
      <c r="AQ329" s="354"/>
      <c r="AR329" s="354"/>
      <c r="AS329" s="354"/>
      <c r="AT329" s="354"/>
      <c r="AU329" s="354"/>
      <c r="AV329" s="354"/>
      <c r="AW329" s="354"/>
    </row>
    <row r="330" spans="1:49">
      <c r="A330" s="354"/>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54"/>
      <c r="AE330" s="354"/>
      <c r="AF330" s="354"/>
      <c r="AG330" s="354"/>
      <c r="AH330" s="354"/>
      <c r="AI330" s="354"/>
      <c r="AJ330" s="354"/>
      <c r="AK330" s="354"/>
      <c r="AL330" s="354"/>
      <c r="AM330" s="354"/>
      <c r="AN330" s="354"/>
      <c r="AO330" s="354"/>
      <c r="AP330" s="354"/>
      <c r="AQ330" s="354"/>
      <c r="AR330" s="354"/>
      <c r="AS330" s="354"/>
      <c r="AT330" s="354"/>
      <c r="AU330" s="354"/>
      <c r="AV330" s="354"/>
      <c r="AW330" s="354"/>
    </row>
    <row r="331" spans="1:49">
      <c r="A331" s="354"/>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54"/>
      <c r="AE331" s="354"/>
      <c r="AF331" s="354"/>
      <c r="AG331" s="354"/>
      <c r="AH331" s="354"/>
      <c r="AI331" s="354"/>
      <c r="AJ331" s="354"/>
      <c r="AK331" s="354"/>
      <c r="AL331" s="354"/>
      <c r="AM331" s="354"/>
      <c r="AN331" s="354"/>
      <c r="AO331" s="354"/>
      <c r="AP331" s="354"/>
      <c r="AQ331" s="354"/>
      <c r="AR331" s="354"/>
      <c r="AS331" s="354"/>
      <c r="AT331" s="354"/>
      <c r="AU331" s="354"/>
      <c r="AV331" s="354"/>
      <c r="AW331" s="354"/>
    </row>
    <row r="332" spans="1:49">
      <c r="A332" s="354"/>
      <c r="B332" s="354"/>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Y332" s="354"/>
      <c r="Z332" s="354"/>
      <c r="AA332" s="354"/>
      <c r="AB332" s="354"/>
      <c r="AC332" s="354"/>
      <c r="AD332" s="354"/>
      <c r="AE332" s="354"/>
      <c r="AF332" s="354"/>
      <c r="AG332" s="354"/>
      <c r="AH332" s="354"/>
      <c r="AI332" s="354"/>
      <c r="AJ332" s="354"/>
      <c r="AK332" s="354"/>
      <c r="AL332" s="354"/>
      <c r="AM332" s="354"/>
      <c r="AN332" s="354"/>
      <c r="AO332" s="354"/>
      <c r="AP332" s="354"/>
      <c r="AQ332" s="354"/>
      <c r="AR332" s="354"/>
      <c r="AS332" s="354"/>
      <c r="AT332" s="354"/>
      <c r="AU332" s="354"/>
      <c r="AV332" s="354"/>
      <c r="AW332" s="354"/>
    </row>
    <row r="333" spans="1:49">
      <c r="A333" s="354"/>
      <c r="B333" s="354"/>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Y333" s="354"/>
      <c r="Z333" s="354"/>
      <c r="AA333" s="354"/>
      <c r="AB333" s="354"/>
      <c r="AC333" s="354"/>
      <c r="AD333" s="354"/>
      <c r="AE333" s="354"/>
      <c r="AF333" s="354"/>
      <c r="AG333" s="354"/>
      <c r="AH333" s="354"/>
      <c r="AI333" s="354"/>
      <c r="AJ333" s="354"/>
      <c r="AK333" s="354"/>
      <c r="AL333" s="354"/>
      <c r="AM333" s="354"/>
      <c r="AN333" s="354"/>
      <c r="AO333" s="354"/>
      <c r="AP333" s="354"/>
      <c r="AQ333" s="354"/>
      <c r="AR333" s="354"/>
      <c r="AS333" s="354"/>
      <c r="AT333" s="354"/>
      <c r="AU333" s="354"/>
      <c r="AV333" s="354"/>
      <c r="AW333" s="354"/>
    </row>
    <row r="334" spans="1:49">
      <c r="A334" s="354"/>
      <c r="B334" s="354"/>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Y334" s="354"/>
      <c r="Z334" s="354"/>
      <c r="AA334" s="354"/>
      <c r="AB334" s="354"/>
      <c r="AC334" s="354"/>
      <c r="AD334" s="354"/>
      <c r="AE334" s="354"/>
      <c r="AF334" s="354"/>
      <c r="AG334" s="354"/>
      <c r="AH334" s="354"/>
      <c r="AI334" s="354"/>
      <c r="AJ334" s="354"/>
      <c r="AK334" s="354"/>
      <c r="AL334" s="354"/>
      <c r="AM334" s="354"/>
      <c r="AN334" s="354"/>
      <c r="AO334" s="354"/>
      <c r="AP334" s="354"/>
      <c r="AQ334" s="354"/>
      <c r="AR334" s="354"/>
      <c r="AS334" s="354"/>
      <c r="AT334" s="354"/>
      <c r="AU334" s="354"/>
      <c r="AV334" s="354"/>
      <c r="AW334" s="354"/>
    </row>
    <row r="335" spans="1:49">
      <c r="A335" s="354"/>
      <c r="B335" s="35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row>
    <row r="336" spans="1:49">
      <c r="A336" s="354"/>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54"/>
      <c r="AE336" s="354"/>
      <c r="AF336" s="354"/>
      <c r="AG336" s="354"/>
      <c r="AH336" s="354"/>
      <c r="AI336" s="354"/>
      <c r="AJ336" s="354"/>
      <c r="AK336" s="354"/>
      <c r="AL336" s="354"/>
      <c r="AM336" s="354"/>
      <c r="AN336" s="354"/>
      <c r="AO336" s="354"/>
      <c r="AP336" s="354"/>
      <c r="AQ336" s="354"/>
      <c r="AR336" s="354"/>
      <c r="AS336" s="354"/>
      <c r="AT336" s="354"/>
      <c r="AU336" s="354"/>
      <c r="AV336" s="354"/>
      <c r="AW336" s="354"/>
    </row>
    <row r="337" spans="1:49">
      <c r="A337" s="354"/>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54"/>
      <c r="AE337" s="354"/>
      <c r="AF337" s="354"/>
      <c r="AG337" s="354"/>
      <c r="AH337" s="354"/>
      <c r="AI337" s="354"/>
      <c r="AJ337" s="354"/>
      <c r="AK337" s="354"/>
      <c r="AL337" s="354"/>
      <c r="AM337" s="354"/>
      <c r="AN337" s="354"/>
      <c r="AO337" s="354"/>
      <c r="AP337" s="354"/>
      <c r="AQ337" s="354"/>
      <c r="AR337" s="354"/>
      <c r="AS337" s="354"/>
      <c r="AT337" s="354"/>
      <c r="AU337" s="354"/>
      <c r="AV337" s="354"/>
      <c r="AW337" s="354"/>
    </row>
    <row r="338" spans="1:49">
      <c r="A338" s="354"/>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row>
    <row r="339" spans="1:49">
      <c r="A339" s="354"/>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54"/>
      <c r="AE339" s="354"/>
      <c r="AF339" s="354"/>
      <c r="AG339" s="354"/>
      <c r="AH339" s="354"/>
      <c r="AI339" s="354"/>
      <c r="AJ339" s="354"/>
      <c r="AK339" s="354"/>
      <c r="AL339" s="354"/>
      <c r="AM339" s="354"/>
      <c r="AN339" s="354"/>
      <c r="AO339" s="354"/>
      <c r="AP339" s="354"/>
      <c r="AQ339" s="354"/>
      <c r="AR339" s="354"/>
      <c r="AS339" s="354"/>
      <c r="AT339" s="354"/>
      <c r="AU339" s="354"/>
      <c r="AV339" s="354"/>
      <c r="AW339" s="354"/>
    </row>
    <row r="340" spans="1:49">
      <c r="A340" s="354"/>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54"/>
      <c r="AE340" s="354"/>
      <c r="AF340" s="354"/>
      <c r="AG340" s="354"/>
      <c r="AH340" s="354"/>
      <c r="AI340" s="354"/>
      <c r="AJ340" s="354"/>
      <c r="AK340" s="354"/>
      <c r="AL340" s="354"/>
      <c r="AM340" s="354"/>
      <c r="AN340" s="354"/>
      <c r="AO340" s="354"/>
      <c r="AP340" s="354"/>
      <c r="AQ340" s="354"/>
      <c r="AR340" s="354"/>
      <c r="AS340" s="354"/>
      <c r="AT340" s="354"/>
      <c r="AU340" s="354"/>
      <c r="AV340" s="354"/>
      <c r="AW340" s="354"/>
    </row>
    <row r="341" spans="1:49">
      <c r="A341" s="354"/>
      <c r="B341" s="354"/>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c r="AA341" s="354"/>
      <c r="AB341" s="354"/>
      <c r="AC341" s="354"/>
      <c r="AD341" s="354"/>
      <c r="AE341" s="354"/>
      <c r="AF341" s="354"/>
      <c r="AG341" s="354"/>
      <c r="AH341" s="354"/>
      <c r="AI341" s="354"/>
      <c r="AJ341" s="354"/>
      <c r="AK341" s="354"/>
      <c r="AL341" s="354"/>
      <c r="AM341" s="354"/>
      <c r="AN341" s="354"/>
      <c r="AO341" s="354"/>
      <c r="AP341" s="354"/>
      <c r="AQ341" s="354"/>
      <c r="AR341" s="354"/>
      <c r="AS341" s="354"/>
      <c r="AT341" s="354"/>
      <c r="AU341" s="354"/>
      <c r="AV341" s="354"/>
      <c r="AW341" s="354"/>
    </row>
    <row r="342" spans="1:49">
      <c r="A342" s="354"/>
      <c r="B342" s="35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row>
    <row r="343" spans="1:49">
      <c r="A343" s="354"/>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c r="AK343" s="354"/>
      <c r="AL343" s="354"/>
      <c r="AM343" s="354"/>
      <c r="AN343" s="354"/>
      <c r="AO343" s="354"/>
      <c r="AP343" s="354"/>
      <c r="AQ343" s="354"/>
      <c r="AR343" s="354"/>
      <c r="AS343" s="354"/>
      <c r="AT343" s="354"/>
      <c r="AU343" s="354"/>
      <c r="AV343" s="354"/>
      <c r="AW343" s="354"/>
    </row>
    <row r="344" spans="1:49">
      <c r="A344" s="354"/>
      <c r="B344" s="35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row>
    <row r="345" spans="1:49">
      <c r="A345" s="354"/>
      <c r="B345" s="354"/>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c r="AA345" s="354"/>
      <c r="AB345" s="354"/>
      <c r="AC345" s="354"/>
      <c r="AD345" s="354"/>
      <c r="AE345" s="354"/>
      <c r="AF345" s="354"/>
      <c r="AG345" s="354"/>
      <c r="AH345" s="354"/>
      <c r="AI345" s="354"/>
      <c r="AJ345" s="354"/>
      <c r="AK345" s="354"/>
      <c r="AL345" s="354"/>
      <c r="AM345" s="354"/>
      <c r="AN345" s="354"/>
      <c r="AO345" s="354"/>
      <c r="AP345" s="354"/>
      <c r="AQ345" s="354"/>
      <c r="AR345" s="354"/>
      <c r="AS345" s="354"/>
      <c r="AT345" s="354"/>
      <c r="AU345" s="354"/>
      <c r="AV345" s="354"/>
      <c r="AW345" s="354"/>
    </row>
    <row r="346" spans="1:49">
      <c r="A346" s="354"/>
      <c r="B346" s="354"/>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c r="AA346" s="354"/>
      <c r="AB346" s="354"/>
      <c r="AC346" s="354"/>
      <c r="AD346" s="354"/>
      <c r="AE346" s="354"/>
      <c r="AF346" s="354"/>
      <c r="AG346" s="354"/>
      <c r="AH346" s="354"/>
      <c r="AI346" s="354"/>
      <c r="AJ346" s="354"/>
      <c r="AK346" s="354"/>
      <c r="AL346" s="354"/>
      <c r="AM346" s="354"/>
      <c r="AN346" s="354"/>
      <c r="AO346" s="354"/>
      <c r="AP346" s="354"/>
      <c r="AQ346" s="354"/>
      <c r="AR346" s="354"/>
      <c r="AS346" s="354"/>
      <c r="AT346" s="354"/>
      <c r="AU346" s="354"/>
      <c r="AV346" s="354"/>
      <c r="AW346" s="354"/>
    </row>
    <row r="347" spans="1:49">
      <c r="A347" s="354"/>
      <c r="B347" s="354"/>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c r="AA347" s="354"/>
      <c r="AB347" s="354"/>
      <c r="AC347" s="354"/>
      <c r="AD347" s="354"/>
      <c r="AE347" s="354"/>
      <c r="AF347" s="354"/>
      <c r="AG347" s="354"/>
      <c r="AH347" s="354"/>
      <c r="AI347" s="354"/>
      <c r="AJ347" s="354"/>
      <c r="AK347" s="354"/>
      <c r="AL347" s="354"/>
      <c r="AM347" s="354"/>
      <c r="AN347" s="354"/>
      <c r="AO347" s="354"/>
      <c r="AP347" s="354"/>
      <c r="AQ347" s="354"/>
      <c r="AR347" s="354"/>
      <c r="AS347" s="354"/>
      <c r="AT347" s="354"/>
      <c r="AU347" s="354"/>
      <c r="AV347" s="354"/>
      <c r="AW347" s="354"/>
    </row>
    <row r="348" spans="1:49">
      <c r="A348" s="354"/>
      <c r="B348" s="354"/>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c r="AA348" s="354"/>
      <c r="AB348" s="354"/>
      <c r="AC348" s="354"/>
      <c r="AD348" s="354"/>
      <c r="AE348" s="354"/>
      <c r="AF348" s="354"/>
      <c r="AG348" s="354"/>
      <c r="AH348" s="354"/>
      <c r="AI348" s="354"/>
      <c r="AJ348" s="354"/>
      <c r="AK348" s="354"/>
      <c r="AL348" s="354"/>
      <c r="AM348" s="354"/>
      <c r="AN348" s="354"/>
      <c r="AO348" s="354"/>
      <c r="AP348" s="354"/>
      <c r="AQ348" s="354"/>
      <c r="AR348" s="354"/>
      <c r="AS348" s="354"/>
      <c r="AT348" s="354"/>
      <c r="AU348" s="354"/>
      <c r="AV348" s="354"/>
      <c r="AW348" s="354"/>
    </row>
    <row r="349" spans="1:49">
      <c r="A349" s="354"/>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c r="AA349" s="354"/>
      <c r="AB349" s="354"/>
      <c r="AC349" s="354"/>
      <c r="AD349" s="354"/>
      <c r="AE349" s="354"/>
      <c r="AF349" s="354"/>
      <c r="AG349" s="354"/>
      <c r="AH349" s="354"/>
      <c r="AI349" s="354"/>
      <c r="AJ349" s="354"/>
      <c r="AK349" s="354"/>
      <c r="AL349" s="354"/>
      <c r="AM349" s="354"/>
      <c r="AN349" s="354"/>
      <c r="AO349" s="354"/>
      <c r="AP349" s="354"/>
      <c r="AQ349" s="354"/>
      <c r="AR349" s="354"/>
      <c r="AS349" s="354"/>
      <c r="AT349" s="354"/>
      <c r="AU349" s="354"/>
      <c r="AV349" s="354"/>
      <c r="AW349" s="354"/>
    </row>
    <row r="350" spans="1:49">
      <c r="A350" s="354"/>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row>
    <row r="351" spans="1:49">
      <c r="A351" s="354"/>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54"/>
      <c r="AF351" s="354"/>
      <c r="AG351" s="354"/>
      <c r="AH351" s="354"/>
      <c r="AI351" s="354"/>
      <c r="AJ351" s="354"/>
      <c r="AK351" s="354"/>
      <c r="AL351" s="354"/>
      <c r="AM351" s="354"/>
      <c r="AN351" s="354"/>
      <c r="AO351" s="354"/>
      <c r="AP351" s="354"/>
      <c r="AQ351" s="354"/>
      <c r="AR351" s="354"/>
      <c r="AS351" s="354"/>
      <c r="AT351" s="354"/>
      <c r="AU351" s="354"/>
      <c r="AV351" s="354"/>
      <c r="AW351" s="354"/>
    </row>
    <row r="352" spans="1:49">
      <c r="A352" s="354"/>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row>
    <row r="353" spans="1:49">
      <c r="A353" s="354"/>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54"/>
      <c r="AE353" s="354"/>
      <c r="AF353" s="354"/>
      <c r="AG353" s="354"/>
      <c r="AH353" s="354"/>
      <c r="AI353" s="354"/>
      <c r="AJ353" s="354"/>
      <c r="AK353" s="354"/>
      <c r="AL353" s="354"/>
      <c r="AM353" s="354"/>
      <c r="AN353" s="354"/>
      <c r="AO353" s="354"/>
      <c r="AP353" s="354"/>
      <c r="AQ353" s="354"/>
      <c r="AR353" s="354"/>
      <c r="AS353" s="354"/>
      <c r="AT353" s="354"/>
      <c r="AU353" s="354"/>
      <c r="AV353" s="354"/>
      <c r="AW353" s="354"/>
    </row>
    <row r="354" spans="1:49">
      <c r="A354" s="354"/>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54"/>
      <c r="AE354" s="354"/>
      <c r="AF354" s="354"/>
      <c r="AG354" s="354"/>
      <c r="AH354" s="354"/>
      <c r="AI354" s="354"/>
      <c r="AJ354" s="354"/>
      <c r="AK354" s="354"/>
      <c r="AL354" s="354"/>
      <c r="AM354" s="354"/>
      <c r="AN354" s="354"/>
      <c r="AO354" s="354"/>
      <c r="AP354" s="354"/>
      <c r="AQ354" s="354"/>
      <c r="AR354" s="354"/>
      <c r="AS354" s="354"/>
      <c r="AT354" s="354"/>
      <c r="AU354" s="354"/>
      <c r="AV354" s="354"/>
      <c r="AW354" s="354"/>
    </row>
    <row r="355" spans="1:49">
      <c r="A355" s="354"/>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c r="AD355" s="354"/>
      <c r="AE355" s="354"/>
      <c r="AF355" s="354"/>
      <c r="AG355" s="354"/>
      <c r="AH355" s="354"/>
      <c r="AI355" s="354"/>
      <c r="AJ355" s="354"/>
      <c r="AK355" s="354"/>
      <c r="AL355" s="354"/>
      <c r="AM355" s="354"/>
      <c r="AN355" s="354"/>
      <c r="AO355" s="354"/>
      <c r="AP355" s="354"/>
      <c r="AQ355" s="354"/>
      <c r="AR355" s="354"/>
      <c r="AS355" s="354"/>
      <c r="AT355" s="354"/>
      <c r="AU355" s="354"/>
      <c r="AV355" s="354"/>
      <c r="AW355" s="354"/>
    </row>
    <row r="356" spans="1:49">
      <c r="A356" s="354"/>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c r="AL356" s="354"/>
      <c r="AM356" s="354"/>
      <c r="AN356" s="354"/>
      <c r="AO356" s="354"/>
      <c r="AP356" s="354"/>
      <c r="AQ356" s="354"/>
      <c r="AR356" s="354"/>
      <c r="AS356" s="354"/>
      <c r="AT356" s="354"/>
      <c r="AU356" s="354"/>
      <c r="AV356" s="354"/>
      <c r="AW356" s="354"/>
    </row>
    <row r="357" spans="1:49">
      <c r="A357" s="354"/>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c r="AL357" s="354"/>
      <c r="AM357" s="354"/>
      <c r="AN357" s="354"/>
      <c r="AO357" s="354"/>
      <c r="AP357" s="354"/>
      <c r="AQ357" s="354"/>
      <c r="AR357" s="354"/>
      <c r="AS357" s="354"/>
      <c r="AT357" s="354"/>
      <c r="AU357" s="354"/>
      <c r="AV357" s="354"/>
      <c r="AW357" s="354"/>
    </row>
    <row r="358" spans="1:49">
      <c r="A358" s="354"/>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54"/>
      <c r="AE358" s="354"/>
      <c r="AF358" s="354"/>
      <c r="AG358" s="354"/>
      <c r="AH358" s="354"/>
      <c r="AI358" s="354"/>
      <c r="AJ358" s="354"/>
      <c r="AK358" s="354"/>
      <c r="AL358" s="354"/>
      <c r="AM358" s="354"/>
      <c r="AN358" s="354"/>
      <c r="AO358" s="354"/>
      <c r="AP358" s="354"/>
      <c r="AQ358" s="354"/>
      <c r="AR358" s="354"/>
      <c r="AS358" s="354"/>
      <c r="AT358" s="354"/>
      <c r="AU358" s="354"/>
      <c r="AV358" s="354"/>
      <c r="AW358" s="354"/>
    </row>
    <row r="359" spans="1:49">
      <c r="A359" s="354"/>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54"/>
      <c r="AE359" s="354"/>
      <c r="AF359" s="354"/>
      <c r="AG359" s="354"/>
      <c r="AH359" s="354"/>
      <c r="AI359" s="354"/>
      <c r="AJ359" s="354"/>
      <c r="AK359" s="354"/>
      <c r="AL359" s="354"/>
      <c r="AM359" s="354"/>
      <c r="AN359" s="354"/>
      <c r="AO359" s="354"/>
      <c r="AP359" s="354"/>
      <c r="AQ359" s="354"/>
      <c r="AR359" s="354"/>
      <c r="AS359" s="354"/>
      <c r="AT359" s="354"/>
      <c r="AU359" s="354"/>
      <c r="AV359" s="354"/>
      <c r="AW359" s="354"/>
    </row>
    <row r="360" spans="1:49">
      <c r="A360" s="354"/>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54"/>
      <c r="AF360" s="354"/>
      <c r="AG360" s="354"/>
      <c r="AH360" s="354"/>
      <c r="AI360" s="354"/>
      <c r="AJ360" s="354"/>
      <c r="AK360" s="354"/>
      <c r="AL360" s="354"/>
      <c r="AM360" s="354"/>
      <c r="AN360" s="354"/>
      <c r="AO360" s="354"/>
      <c r="AP360" s="354"/>
      <c r="AQ360" s="354"/>
      <c r="AR360" s="354"/>
      <c r="AS360" s="354"/>
      <c r="AT360" s="354"/>
      <c r="AU360" s="354"/>
      <c r="AV360" s="354"/>
      <c r="AW360" s="354"/>
    </row>
    <row r="361" spans="1:49">
      <c r="A361" s="354"/>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54"/>
      <c r="AE361" s="354"/>
      <c r="AF361" s="354"/>
      <c r="AG361" s="354"/>
      <c r="AH361" s="354"/>
      <c r="AI361" s="354"/>
      <c r="AJ361" s="354"/>
      <c r="AK361" s="354"/>
      <c r="AL361" s="354"/>
      <c r="AM361" s="354"/>
      <c r="AN361" s="354"/>
      <c r="AO361" s="354"/>
      <c r="AP361" s="354"/>
      <c r="AQ361" s="354"/>
      <c r="AR361" s="354"/>
      <c r="AS361" s="354"/>
      <c r="AT361" s="354"/>
      <c r="AU361" s="354"/>
      <c r="AV361" s="354"/>
      <c r="AW361" s="354"/>
    </row>
    <row r="362" spans="1:49">
      <c r="A362" s="354"/>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row>
    <row r="363" spans="1:49">
      <c r="A363" s="354"/>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c r="AA363" s="354"/>
      <c r="AB363" s="354"/>
      <c r="AC363" s="354"/>
      <c r="AD363" s="354"/>
      <c r="AE363" s="354"/>
      <c r="AF363" s="354"/>
      <c r="AG363" s="354"/>
      <c r="AH363" s="354"/>
      <c r="AI363" s="354"/>
      <c r="AJ363" s="354"/>
      <c r="AK363" s="354"/>
      <c r="AL363" s="354"/>
      <c r="AM363" s="354"/>
      <c r="AN363" s="354"/>
      <c r="AO363" s="354"/>
      <c r="AP363" s="354"/>
      <c r="AQ363" s="354"/>
      <c r="AR363" s="354"/>
      <c r="AS363" s="354"/>
      <c r="AT363" s="354"/>
      <c r="AU363" s="354"/>
      <c r="AV363" s="354"/>
      <c r="AW363" s="354"/>
    </row>
    <row r="364" spans="1:49">
      <c r="A364" s="354"/>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c r="AA364" s="354"/>
      <c r="AB364" s="354"/>
      <c r="AC364" s="354"/>
      <c r="AD364" s="354"/>
      <c r="AE364" s="354"/>
      <c r="AF364" s="354"/>
      <c r="AG364" s="354"/>
      <c r="AH364" s="354"/>
      <c r="AI364" s="354"/>
      <c r="AJ364" s="354"/>
      <c r="AK364" s="354"/>
      <c r="AL364" s="354"/>
      <c r="AM364" s="354"/>
      <c r="AN364" s="354"/>
      <c r="AO364" s="354"/>
      <c r="AP364" s="354"/>
      <c r="AQ364" s="354"/>
      <c r="AR364" s="354"/>
      <c r="AS364" s="354"/>
      <c r="AT364" s="354"/>
      <c r="AU364" s="354"/>
      <c r="AV364" s="354"/>
      <c r="AW364" s="354"/>
    </row>
    <row r="365" spans="1:49">
      <c r="A365" s="354"/>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54"/>
      <c r="AE365" s="354"/>
      <c r="AF365" s="354"/>
      <c r="AG365" s="354"/>
      <c r="AH365" s="354"/>
      <c r="AI365" s="354"/>
      <c r="AJ365" s="354"/>
      <c r="AK365" s="354"/>
      <c r="AL365" s="354"/>
      <c r="AM365" s="354"/>
      <c r="AN365" s="354"/>
      <c r="AO365" s="354"/>
      <c r="AP365" s="354"/>
      <c r="AQ365" s="354"/>
      <c r="AR365" s="354"/>
      <c r="AS365" s="354"/>
      <c r="AT365" s="354"/>
      <c r="AU365" s="354"/>
      <c r="AV365" s="354"/>
      <c r="AW365" s="354"/>
    </row>
    <row r="366" spans="1:49">
      <c r="A366" s="354"/>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54"/>
      <c r="AE366" s="354"/>
      <c r="AF366" s="354"/>
      <c r="AG366" s="354"/>
      <c r="AH366" s="354"/>
      <c r="AI366" s="354"/>
      <c r="AJ366" s="354"/>
      <c r="AK366" s="354"/>
      <c r="AL366" s="354"/>
      <c r="AM366" s="354"/>
      <c r="AN366" s="354"/>
      <c r="AO366" s="354"/>
      <c r="AP366" s="354"/>
      <c r="AQ366" s="354"/>
      <c r="AR366" s="354"/>
      <c r="AS366" s="354"/>
      <c r="AT366" s="354"/>
      <c r="AU366" s="354"/>
      <c r="AV366" s="354"/>
      <c r="AW366" s="354"/>
    </row>
    <row r="367" spans="1:49">
      <c r="A367" s="354"/>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54"/>
      <c r="AE367" s="354"/>
      <c r="AF367" s="354"/>
      <c r="AG367" s="354"/>
      <c r="AH367" s="354"/>
      <c r="AI367" s="354"/>
      <c r="AJ367" s="354"/>
      <c r="AK367" s="354"/>
      <c r="AL367" s="354"/>
      <c r="AM367" s="354"/>
      <c r="AN367" s="354"/>
      <c r="AO367" s="354"/>
      <c r="AP367" s="354"/>
      <c r="AQ367" s="354"/>
      <c r="AR367" s="354"/>
      <c r="AS367" s="354"/>
      <c r="AT367" s="354"/>
      <c r="AU367" s="354"/>
      <c r="AV367" s="354"/>
      <c r="AW367" s="354"/>
    </row>
    <row r="368" spans="1:49">
      <c r="A368" s="354"/>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54"/>
      <c r="AE368" s="354"/>
      <c r="AF368" s="354"/>
      <c r="AG368" s="354"/>
      <c r="AH368" s="354"/>
      <c r="AI368" s="354"/>
      <c r="AJ368" s="354"/>
      <c r="AK368" s="354"/>
      <c r="AL368" s="354"/>
      <c r="AM368" s="354"/>
      <c r="AN368" s="354"/>
      <c r="AO368" s="354"/>
      <c r="AP368" s="354"/>
      <c r="AQ368" s="354"/>
      <c r="AR368" s="354"/>
      <c r="AS368" s="354"/>
      <c r="AT368" s="354"/>
      <c r="AU368" s="354"/>
      <c r="AV368" s="354"/>
      <c r="AW368" s="354"/>
    </row>
    <row r="369" spans="1:49">
      <c r="A369" s="354"/>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c r="AA369" s="354"/>
      <c r="AB369" s="354"/>
      <c r="AC369" s="354"/>
      <c r="AD369" s="354"/>
      <c r="AE369" s="354"/>
      <c r="AF369" s="354"/>
      <c r="AG369" s="354"/>
      <c r="AH369" s="354"/>
      <c r="AI369" s="354"/>
      <c r="AJ369" s="354"/>
      <c r="AK369" s="354"/>
      <c r="AL369" s="354"/>
      <c r="AM369" s="354"/>
      <c r="AN369" s="354"/>
      <c r="AO369" s="354"/>
      <c r="AP369" s="354"/>
      <c r="AQ369" s="354"/>
      <c r="AR369" s="354"/>
      <c r="AS369" s="354"/>
      <c r="AT369" s="354"/>
      <c r="AU369" s="354"/>
      <c r="AV369" s="354"/>
      <c r="AW369" s="354"/>
    </row>
    <row r="370" spans="1:49">
      <c r="A370" s="354"/>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c r="AA370" s="354"/>
      <c r="AB370" s="354"/>
      <c r="AC370" s="354"/>
      <c r="AD370" s="354"/>
      <c r="AE370" s="354"/>
      <c r="AF370" s="354"/>
      <c r="AG370" s="354"/>
      <c r="AH370" s="354"/>
      <c r="AI370" s="354"/>
      <c r="AJ370" s="354"/>
      <c r="AK370" s="354"/>
      <c r="AL370" s="354"/>
      <c r="AM370" s="354"/>
      <c r="AN370" s="354"/>
      <c r="AO370" s="354"/>
      <c r="AP370" s="354"/>
      <c r="AQ370" s="354"/>
      <c r="AR370" s="354"/>
      <c r="AS370" s="354"/>
      <c r="AT370" s="354"/>
      <c r="AU370" s="354"/>
      <c r="AV370" s="354"/>
      <c r="AW370" s="354"/>
    </row>
    <row r="371" spans="1:49">
      <c r="A371" s="354"/>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row>
    <row r="372" spans="1:49">
      <c r="A372" s="354"/>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row>
    <row r="373" spans="1:49">
      <c r="A373" s="354"/>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54"/>
      <c r="AE373" s="354"/>
      <c r="AF373" s="354"/>
      <c r="AG373" s="354"/>
      <c r="AH373" s="354"/>
      <c r="AI373" s="354"/>
      <c r="AJ373" s="354"/>
      <c r="AK373" s="354"/>
      <c r="AL373" s="354"/>
      <c r="AM373" s="354"/>
      <c r="AN373" s="354"/>
      <c r="AO373" s="354"/>
      <c r="AP373" s="354"/>
      <c r="AQ373" s="354"/>
      <c r="AR373" s="354"/>
      <c r="AS373" s="354"/>
      <c r="AT373" s="354"/>
      <c r="AU373" s="354"/>
      <c r="AV373" s="354"/>
      <c r="AW373" s="354"/>
    </row>
    <row r="374" spans="1:49">
      <c r="A374" s="354"/>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row>
    <row r="375" spans="1:49">
      <c r="A375" s="354"/>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54"/>
      <c r="AE375" s="354"/>
      <c r="AF375" s="354"/>
      <c r="AG375" s="354"/>
      <c r="AH375" s="354"/>
      <c r="AI375" s="354"/>
      <c r="AJ375" s="354"/>
      <c r="AK375" s="354"/>
      <c r="AL375" s="354"/>
      <c r="AM375" s="354"/>
      <c r="AN375" s="354"/>
      <c r="AO375" s="354"/>
      <c r="AP375" s="354"/>
      <c r="AQ375" s="354"/>
      <c r="AR375" s="354"/>
      <c r="AS375" s="354"/>
      <c r="AT375" s="354"/>
      <c r="AU375" s="354"/>
      <c r="AV375" s="354"/>
      <c r="AW375" s="354"/>
    </row>
    <row r="376" spans="1:49">
      <c r="A376" s="354"/>
      <c r="B376" s="354"/>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Y376" s="354"/>
      <c r="Z376" s="354"/>
      <c r="AA376" s="354"/>
      <c r="AB376" s="354"/>
      <c r="AC376" s="354"/>
      <c r="AD376" s="354"/>
      <c r="AE376" s="354"/>
      <c r="AF376" s="354"/>
      <c r="AG376" s="354"/>
      <c r="AH376" s="354"/>
      <c r="AI376" s="354"/>
      <c r="AJ376" s="354"/>
      <c r="AK376" s="354"/>
      <c r="AL376" s="354"/>
      <c r="AM376" s="354"/>
      <c r="AN376" s="354"/>
      <c r="AO376" s="354"/>
      <c r="AP376" s="354"/>
      <c r="AQ376" s="354"/>
      <c r="AR376" s="354"/>
      <c r="AS376" s="354"/>
      <c r="AT376" s="354"/>
      <c r="AU376" s="354"/>
      <c r="AV376" s="354"/>
      <c r="AW376" s="354"/>
    </row>
    <row r="377" spans="1:49">
      <c r="A377" s="354"/>
      <c r="B377" s="354"/>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Y377" s="354"/>
      <c r="Z377" s="354"/>
      <c r="AA377" s="354"/>
      <c r="AB377" s="354"/>
      <c r="AC377" s="354"/>
      <c r="AD377" s="354"/>
      <c r="AE377" s="354"/>
      <c r="AF377" s="354"/>
      <c r="AG377" s="354"/>
      <c r="AH377" s="354"/>
      <c r="AI377" s="354"/>
      <c r="AJ377" s="354"/>
      <c r="AK377" s="354"/>
      <c r="AL377" s="354"/>
      <c r="AM377" s="354"/>
      <c r="AN377" s="354"/>
      <c r="AO377" s="354"/>
      <c r="AP377" s="354"/>
      <c r="AQ377" s="354"/>
      <c r="AR377" s="354"/>
      <c r="AS377" s="354"/>
      <c r="AT377" s="354"/>
      <c r="AU377" s="354"/>
      <c r="AV377" s="354"/>
      <c r="AW377" s="354"/>
    </row>
    <row r="378" spans="1:49">
      <c r="A378" s="354"/>
      <c r="B378" s="354"/>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Y378" s="354"/>
      <c r="Z378" s="354"/>
      <c r="AA378" s="354"/>
      <c r="AB378" s="354"/>
      <c r="AC378" s="354"/>
      <c r="AD378" s="354"/>
      <c r="AE378" s="354"/>
      <c r="AF378" s="354"/>
      <c r="AG378" s="354"/>
      <c r="AH378" s="354"/>
      <c r="AI378" s="354"/>
      <c r="AJ378" s="354"/>
      <c r="AK378" s="354"/>
      <c r="AL378" s="354"/>
      <c r="AM378" s="354"/>
      <c r="AN378" s="354"/>
      <c r="AO378" s="354"/>
      <c r="AP378" s="354"/>
      <c r="AQ378" s="354"/>
      <c r="AR378" s="354"/>
      <c r="AS378" s="354"/>
      <c r="AT378" s="354"/>
      <c r="AU378" s="354"/>
      <c r="AV378" s="354"/>
      <c r="AW378" s="354"/>
    </row>
    <row r="379" spans="1:49">
      <c r="A379" s="354"/>
      <c r="B379" s="354"/>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c r="AA379" s="354"/>
      <c r="AB379" s="354"/>
      <c r="AC379" s="354"/>
      <c r="AD379" s="354"/>
      <c r="AE379" s="354"/>
      <c r="AF379" s="354"/>
      <c r="AG379" s="354"/>
      <c r="AH379" s="354"/>
      <c r="AI379" s="354"/>
      <c r="AJ379" s="354"/>
      <c r="AK379" s="354"/>
      <c r="AL379" s="354"/>
      <c r="AM379" s="354"/>
      <c r="AN379" s="354"/>
      <c r="AO379" s="354"/>
      <c r="AP379" s="354"/>
      <c r="AQ379" s="354"/>
      <c r="AR379" s="354"/>
      <c r="AS379" s="354"/>
      <c r="AT379" s="354"/>
      <c r="AU379" s="354"/>
      <c r="AV379" s="354"/>
      <c r="AW379" s="354"/>
    </row>
    <row r="380" spans="1:49">
      <c r="A380" s="354"/>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54"/>
      <c r="AE380" s="354"/>
      <c r="AF380" s="354"/>
      <c r="AG380" s="354"/>
      <c r="AH380" s="354"/>
      <c r="AI380" s="354"/>
      <c r="AJ380" s="354"/>
      <c r="AK380" s="354"/>
      <c r="AL380" s="354"/>
      <c r="AM380" s="354"/>
      <c r="AN380" s="354"/>
      <c r="AO380" s="354"/>
      <c r="AP380" s="354"/>
      <c r="AQ380" s="354"/>
      <c r="AR380" s="354"/>
      <c r="AS380" s="354"/>
      <c r="AT380" s="354"/>
      <c r="AU380" s="354"/>
      <c r="AV380" s="354"/>
      <c r="AW380" s="354"/>
    </row>
    <row r="381" spans="1:49">
      <c r="A381" s="354"/>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54"/>
      <c r="AE381" s="354"/>
      <c r="AF381" s="354"/>
      <c r="AG381" s="354"/>
      <c r="AH381" s="354"/>
      <c r="AI381" s="354"/>
      <c r="AJ381" s="354"/>
      <c r="AK381" s="354"/>
      <c r="AL381" s="354"/>
      <c r="AM381" s="354"/>
      <c r="AN381" s="354"/>
      <c r="AO381" s="354"/>
      <c r="AP381" s="354"/>
      <c r="AQ381" s="354"/>
      <c r="AR381" s="354"/>
      <c r="AS381" s="354"/>
      <c r="AT381" s="354"/>
      <c r="AU381" s="354"/>
      <c r="AV381" s="354"/>
      <c r="AW381" s="354"/>
    </row>
    <row r="382" spans="1:49">
      <c r="A382" s="354"/>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row>
    <row r="383" spans="1:49">
      <c r="A383" s="354"/>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c r="AA383" s="354"/>
      <c r="AB383" s="354"/>
      <c r="AC383" s="354"/>
      <c r="AD383" s="354"/>
      <c r="AE383" s="354"/>
      <c r="AF383" s="354"/>
      <c r="AG383" s="354"/>
      <c r="AH383" s="354"/>
      <c r="AI383" s="354"/>
      <c r="AJ383" s="354"/>
      <c r="AK383" s="354"/>
      <c r="AL383" s="354"/>
      <c r="AM383" s="354"/>
      <c r="AN383" s="354"/>
      <c r="AO383" s="354"/>
      <c r="AP383" s="354"/>
      <c r="AQ383" s="354"/>
      <c r="AR383" s="354"/>
      <c r="AS383" s="354"/>
      <c r="AT383" s="354"/>
      <c r="AU383" s="354"/>
      <c r="AV383" s="354"/>
      <c r="AW383" s="354"/>
    </row>
    <row r="384" spans="1:49">
      <c r="A384" s="354"/>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c r="AA384" s="354"/>
      <c r="AB384" s="354"/>
      <c r="AC384" s="354"/>
      <c r="AD384" s="354"/>
      <c r="AE384" s="354"/>
      <c r="AF384" s="354"/>
      <c r="AG384" s="354"/>
      <c r="AH384" s="354"/>
      <c r="AI384" s="354"/>
      <c r="AJ384" s="354"/>
      <c r="AK384" s="354"/>
      <c r="AL384" s="354"/>
      <c r="AM384" s="354"/>
      <c r="AN384" s="354"/>
      <c r="AO384" s="354"/>
      <c r="AP384" s="354"/>
      <c r="AQ384" s="354"/>
      <c r="AR384" s="354"/>
      <c r="AS384" s="354"/>
      <c r="AT384" s="354"/>
      <c r="AU384" s="354"/>
      <c r="AV384" s="354"/>
      <c r="AW384" s="354"/>
    </row>
    <row r="385" spans="1:49">
      <c r="A385" s="354"/>
      <c r="B385" s="354"/>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c r="AA385" s="354"/>
      <c r="AB385" s="354"/>
      <c r="AC385" s="354"/>
      <c r="AD385" s="354"/>
      <c r="AE385" s="354"/>
      <c r="AF385" s="354"/>
      <c r="AG385" s="354"/>
      <c r="AH385" s="354"/>
      <c r="AI385" s="354"/>
      <c r="AJ385" s="354"/>
      <c r="AK385" s="354"/>
      <c r="AL385" s="354"/>
      <c r="AM385" s="354"/>
      <c r="AN385" s="354"/>
      <c r="AO385" s="354"/>
      <c r="AP385" s="354"/>
      <c r="AQ385" s="354"/>
      <c r="AR385" s="354"/>
      <c r="AS385" s="354"/>
      <c r="AT385" s="354"/>
      <c r="AU385" s="354"/>
      <c r="AV385" s="354"/>
      <c r="AW385" s="354"/>
    </row>
    <row r="386" spans="1:49">
      <c r="A386" s="354"/>
      <c r="B386" s="35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row>
    <row r="387" spans="1:49">
      <c r="A387" s="354"/>
      <c r="B387" s="354"/>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c r="AA387" s="354"/>
      <c r="AB387" s="354"/>
      <c r="AC387" s="354"/>
      <c r="AD387" s="354"/>
      <c r="AE387" s="354"/>
      <c r="AF387" s="354"/>
      <c r="AG387" s="354"/>
      <c r="AH387" s="354"/>
      <c r="AI387" s="354"/>
      <c r="AJ387" s="354"/>
      <c r="AK387" s="354"/>
      <c r="AL387" s="354"/>
      <c r="AM387" s="354"/>
      <c r="AN387" s="354"/>
      <c r="AO387" s="354"/>
      <c r="AP387" s="354"/>
      <c r="AQ387" s="354"/>
      <c r="AR387" s="354"/>
      <c r="AS387" s="354"/>
      <c r="AT387" s="354"/>
      <c r="AU387" s="354"/>
      <c r="AV387" s="354"/>
      <c r="AW387" s="354"/>
    </row>
    <row r="388" spans="1:49">
      <c r="A388" s="354"/>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c r="AD388" s="354"/>
      <c r="AE388" s="354"/>
      <c r="AF388" s="354"/>
      <c r="AG388" s="354"/>
      <c r="AH388" s="354"/>
      <c r="AI388" s="354"/>
      <c r="AJ388" s="354"/>
      <c r="AK388" s="354"/>
      <c r="AL388" s="354"/>
      <c r="AM388" s="354"/>
      <c r="AN388" s="354"/>
      <c r="AO388" s="354"/>
      <c r="AP388" s="354"/>
      <c r="AQ388" s="354"/>
      <c r="AR388" s="354"/>
      <c r="AS388" s="354"/>
      <c r="AT388" s="354"/>
      <c r="AU388" s="354"/>
      <c r="AV388" s="354"/>
      <c r="AW388" s="354"/>
    </row>
    <row r="389" spans="1:49">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row>
    <row r="390" spans="1:49">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4"/>
      <c r="AV390" s="354"/>
      <c r="AW390" s="354"/>
    </row>
    <row r="391" spans="1:49">
      <c r="A391" s="354"/>
      <c r="B391" s="354"/>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c r="AL391" s="354"/>
      <c r="AM391" s="354"/>
      <c r="AN391" s="354"/>
      <c r="AO391" s="354"/>
      <c r="AP391" s="354"/>
      <c r="AQ391" s="354"/>
      <c r="AR391" s="354"/>
      <c r="AS391" s="354"/>
      <c r="AT391" s="354"/>
      <c r="AU391" s="354"/>
      <c r="AV391" s="354"/>
      <c r="AW391" s="354"/>
    </row>
    <row r="392" spans="1:49">
      <c r="A392" s="354"/>
      <c r="B392" s="354"/>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c r="AM392" s="354"/>
      <c r="AN392" s="354"/>
      <c r="AO392" s="354"/>
      <c r="AP392" s="354"/>
      <c r="AQ392" s="354"/>
      <c r="AR392" s="354"/>
      <c r="AS392" s="354"/>
      <c r="AT392" s="354"/>
      <c r="AU392" s="354"/>
      <c r="AV392" s="354"/>
      <c r="AW392" s="354"/>
    </row>
    <row r="393" spans="1:49">
      <c r="A393" s="354"/>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c r="AD393" s="354"/>
      <c r="AE393" s="354"/>
      <c r="AF393" s="354"/>
      <c r="AG393" s="354"/>
      <c r="AH393" s="354"/>
      <c r="AI393" s="354"/>
      <c r="AJ393" s="354"/>
      <c r="AK393" s="354"/>
      <c r="AL393" s="354"/>
      <c r="AM393" s="354"/>
      <c r="AN393" s="354"/>
      <c r="AO393" s="354"/>
      <c r="AP393" s="354"/>
      <c r="AQ393" s="354"/>
      <c r="AR393" s="354"/>
      <c r="AS393" s="354"/>
      <c r="AT393" s="354"/>
      <c r="AU393" s="354"/>
      <c r="AV393" s="354"/>
      <c r="AW393" s="354"/>
    </row>
    <row r="394" spans="1:49">
      <c r="A394" s="354"/>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54"/>
      <c r="AE394" s="354"/>
      <c r="AF394" s="354"/>
      <c r="AG394" s="354"/>
      <c r="AH394" s="354"/>
      <c r="AI394" s="354"/>
      <c r="AJ394" s="354"/>
      <c r="AK394" s="354"/>
      <c r="AL394" s="354"/>
      <c r="AM394" s="354"/>
      <c r="AN394" s="354"/>
      <c r="AO394" s="354"/>
      <c r="AP394" s="354"/>
      <c r="AQ394" s="354"/>
      <c r="AR394" s="354"/>
      <c r="AS394" s="354"/>
      <c r="AT394" s="354"/>
      <c r="AU394" s="354"/>
      <c r="AV394" s="354"/>
      <c r="AW394" s="354"/>
    </row>
    <row r="395" spans="1:49">
      <c r="A395" s="354"/>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54"/>
      <c r="AE395" s="354"/>
      <c r="AF395" s="354"/>
      <c r="AG395" s="354"/>
      <c r="AH395" s="354"/>
      <c r="AI395" s="354"/>
      <c r="AJ395" s="354"/>
      <c r="AK395" s="354"/>
      <c r="AL395" s="354"/>
      <c r="AM395" s="354"/>
      <c r="AN395" s="354"/>
      <c r="AO395" s="354"/>
      <c r="AP395" s="354"/>
      <c r="AQ395" s="354"/>
      <c r="AR395" s="354"/>
      <c r="AS395" s="354"/>
      <c r="AT395" s="354"/>
      <c r="AU395" s="354"/>
      <c r="AV395" s="354"/>
      <c r="AW395" s="354"/>
    </row>
    <row r="396" spans="1:49">
      <c r="A396" s="354"/>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54"/>
      <c r="AE396" s="354"/>
      <c r="AF396" s="354"/>
      <c r="AG396" s="354"/>
      <c r="AH396" s="354"/>
      <c r="AI396" s="354"/>
      <c r="AJ396" s="354"/>
      <c r="AK396" s="354"/>
      <c r="AL396" s="354"/>
      <c r="AM396" s="354"/>
      <c r="AN396" s="354"/>
      <c r="AO396" s="354"/>
      <c r="AP396" s="354"/>
      <c r="AQ396" s="354"/>
      <c r="AR396" s="354"/>
      <c r="AS396" s="354"/>
      <c r="AT396" s="354"/>
      <c r="AU396" s="354"/>
      <c r="AV396" s="354"/>
      <c r="AW396" s="354"/>
    </row>
    <row r="397" spans="1:49">
      <c r="A397" s="354"/>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54"/>
      <c r="AE397" s="354"/>
      <c r="AF397" s="354"/>
      <c r="AG397" s="354"/>
      <c r="AH397" s="354"/>
      <c r="AI397" s="354"/>
      <c r="AJ397" s="354"/>
      <c r="AK397" s="354"/>
      <c r="AL397" s="354"/>
      <c r="AM397" s="354"/>
      <c r="AN397" s="354"/>
      <c r="AO397" s="354"/>
      <c r="AP397" s="354"/>
      <c r="AQ397" s="354"/>
      <c r="AR397" s="354"/>
      <c r="AS397" s="354"/>
      <c r="AT397" s="354"/>
      <c r="AU397" s="354"/>
      <c r="AV397" s="354"/>
      <c r="AW397" s="354"/>
    </row>
    <row r="398" spans="1:49">
      <c r="A398" s="354"/>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row>
    <row r="399" spans="1:49">
      <c r="A399" s="354"/>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54"/>
      <c r="AE399" s="354"/>
      <c r="AF399" s="354"/>
      <c r="AG399" s="354"/>
      <c r="AH399" s="354"/>
      <c r="AI399" s="354"/>
      <c r="AJ399" s="354"/>
      <c r="AK399" s="354"/>
      <c r="AL399" s="354"/>
      <c r="AM399" s="354"/>
      <c r="AN399" s="354"/>
      <c r="AO399" s="354"/>
      <c r="AP399" s="354"/>
      <c r="AQ399" s="354"/>
      <c r="AR399" s="354"/>
      <c r="AS399" s="354"/>
      <c r="AT399" s="354"/>
      <c r="AU399" s="354"/>
      <c r="AV399" s="354"/>
      <c r="AW399" s="354"/>
    </row>
    <row r="400" spans="1:49">
      <c r="A400" s="354"/>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54"/>
      <c r="AE400" s="354"/>
      <c r="AF400" s="354"/>
      <c r="AG400" s="354"/>
      <c r="AH400" s="354"/>
      <c r="AI400" s="354"/>
      <c r="AJ400" s="354"/>
      <c r="AK400" s="354"/>
      <c r="AL400" s="354"/>
      <c r="AM400" s="354"/>
      <c r="AN400" s="354"/>
      <c r="AO400" s="354"/>
      <c r="AP400" s="354"/>
      <c r="AQ400" s="354"/>
      <c r="AR400" s="354"/>
      <c r="AS400" s="354"/>
      <c r="AT400" s="354"/>
      <c r="AU400" s="354"/>
      <c r="AV400" s="354"/>
      <c r="AW400" s="354"/>
    </row>
    <row r="401" spans="1:49">
      <c r="A401" s="354"/>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54"/>
      <c r="AE401" s="354"/>
      <c r="AF401" s="354"/>
      <c r="AG401" s="354"/>
      <c r="AH401" s="354"/>
      <c r="AI401" s="354"/>
      <c r="AJ401" s="354"/>
      <c r="AK401" s="354"/>
      <c r="AL401" s="354"/>
      <c r="AM401" s="354"/>
      <c r="AN401" s="354"/>
      <c r="AO401" s="354"/>
      <c r="AP401" s="354"/>
      <c r="AQ401" s="354"/>
      <c r="AR401" s="354"/>
      <c r="AS401" s="354"/>
      <c r="AT401" s="354"/>
      <c r="AU401" s="354"/>
      <c r="AV401" s="354"/>
      <c r="AW401" s="354"/>
    </row>
    <row r="402" spans="1:49">
      <c r="A402" s="354"/>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row>
    <row r="403" spans="1:49">
      <c r="A403" s="354"/>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54"/>
      <c r="AE403" s="354"/>
      <c r="AF403" s="354"/>
      <c r="AG403" s="354"/>
      <c r="AH403" s="354"/>
      <c r="AI403" s="354"/>
      <c r="AJ403" s="354"/>
      <c r="AK403" s="354"/>
      <c r="AL403" s="354"/>
      <c r="AM403" s="354"/>
      <c r="AN403" s="354"/>
      <c r="AO403" s="354"/>
      <c r="AP403" s="354"/>
      <c r="AQ403" s="354"/>
      <c r="AR403" s="354"/>
      <c r="AS403" s="354"/>
      <c r="AT403" s="354"/>
      <c r="AU403" s="354"/>
      <c r="AV403" s="354"/>
      <c r="AW403" s="354"/>
    </row>
    <row r="404" spans="1:49">
      <c r="A404" s="354"/>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54"/>
      <c r="AE404" s="354"/>
      <c r="AF404" s="354"/>
      <c r="AG404" s="354"/>
      <c r="AH404" s="354"/>
      <c r="AI404" s="354"/>
      <c r="AJ404" s="354"/>
      <c r="AK404" s="354"/>
      <c r="AL404" s="354"/>
      <c r="AM404" s="354"/>
      <c r="AN404" s="354"/>
      <c r="AO404" s="354"/>
      <c r="AP404" s="354"/>
      <c r="AQ404" s="354"/>
      <c r="AR404" s="354"/>
      <c r="AS404" s="354"/>
      <c r="AT404" s="354"/>
      <c r="AU404" s="354"/>
      <c r="AV404" s="354"/>
      <c r="AW404" s="354"/>
    </row>
    <row r="405" spans="1:49">
      <c r="A405" s="354"/>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c r="AA405" s="354"/>
      <c r="AB405" s="354"/>
      <c r="AC405" s="354"/>
      <c r="AD405" s="354"/>
      <c r="AE405" s="354"/>
      <c r="AF405" s="354"/>
      <c r="AG405" s="354"/>
      <c r="AH405" s="354"/>
      <c r="AI405" s="354"/>
      <c r="AJ405" s="354"/>
      <c r="AK405" s="354"/>
      <c r="AL405" s="354"/>
      <c r="AM405" s="354"/>
      <c r="AN405" s="354"/>
      <c r="AO405" s="354"/>
      <c r="AP405" s="354"/>
      <c r="AQ405" s="354"/>
      <c r="AR405" s="354"/>
      <c r="AS405" s="354"/>
      <c r="AT405" s="354"/>
      <c r="AU405" s="354"/>
      <c r="AV405" s="354"/>
      <c r="AW405" s="354"/>
    </row>
    <row r="406" spans="1:49">
      <c r="A406" s="354"/>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c r="AA406" s="354"/>
      <c r="AB406" s="354"/>
      <c r="AC406" s="354"/>
      <c r="AD406" s="354"/>
      <c r="AE406" s="354"/>
      <c r="AF406" s="354"/>
      <c r="AG406" s="354"/>
      <c r="AH406" s="354"/>
      <c r="AI406" s="354"/>
      <c r="AJ406" s="354"/>
      <c r="AK406" s="354"/>
      <c r="AL406" s="354"/>
      <c r="AM406" s="354"/>
      <c r="AN406" s="354"/>
      <c r="AO406" s="354"/>
      <c r="AP406" s="354"/>
      <c r="AQ406" s="354"/>
      <c r="AR406" s="354"/>
      <c r="AS406" s="354"/>
      <c r="AT406" s="354"/>
      <c r="AU406" s="354"/>
      <c r="AV406" s="354"/>
      <c r="AW406" s="354"/>
    </row>
    <row r="407" spans="1:49">
      <c r="A407" s="354"/>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c r="AA407" s="354"/>
      <c r="AB407" s="354"/>
      <c r="AC407" s="354"/>
      <c r="AD407" s="354"/>
      <c r="AE407" s="354"/>
      <c r="AF407" s="354"/>
      <c r="AG407" s="354"/>
      <c r="AH407" s="354"/>
      <c r="AI407" s="354"/>
      <c r="AJ407" s="354"/>
      <c r="AK407" s="354"/>
      <c r="AL407" s="354"/>
      <c r="AM407" s="354"/>
      <c r="AN407" s="354"/>
      <c r="AO407" s="354"/>
      <c r="AP407" s="354"/>
      <c r="AQ407" s="354"/>
      <c r="AR407" s="354"/>
      <c r="AS407" s="354"/>
      <c r="AT407" s="354"/>
      <c r="AU407" s="354"/>
      <c r="AV407" s="354"/>
      <c r="AW407" s="354"/>
    </row>
    <row r="408" spans="1:49">
      <c r="A408" s="354"/>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c r="AA408" s="354"/>
      <c r="AB408" s="354"/>
      <c r="AC408" s="354"/>
      <c r="AD408" s="354"/>
      <c r="AE408" s="354"/>
      <c r="AF408" s="354"/>
      <c r="AG408" s="354"/>
      <c r="AH408" s="354"/>
      <c r="AI408" s="354"/>
      <c r="AJ408" s="354"/>
      <c r="AK408" s="354"/>
      <c r="AL408" s="354"/>
      <c r="AM408" s="354"/>
      <c r="AN408" s="354"/>
      <c r="AO408" s="354"/>
      <c r="AP408" s="354"/>
      <c r="AQ408" s="354"/>
      <c r="AR408" s="354"/>
      <c r="AS408" s="354"/>
      <c r="AT408" s="354"/>
      <c r="AU408" s="354"/>
      <c r="AV408" s="354"/>
      <c r="AW408" s="354"/>
    </row>
    <row r="409" spans="1:49">
      <c r="A409" s="354"/>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c r="AA409" s="354"/>
      <c r="AB409" s="354"/>
      <c r="AC409" s="354"/>
      <c r="AD409" s="354"/>
      <c r="AE409" s="354"/>
      <c r="AF409" s="354"/>
      <c r="AG409" s="354"/>
      <c r="AH409" s="354"/>
      <c r="AI409" s="354"/>
      <c r="AJ409" s="354"/>
      <c r="AK409" s="354"/>
      <c r="AL409" s="354"/>
      <c r="AM409" s="354"/>
      <c r="AN409" s="354"/>
      <c r="AO409" s="354"/>
      <c r="AP409" s="354"/>
      <c r="AQ409" s="354"/>
      <c r="AR409" s="354"/>
      <c r="AS409" s="354"/>
      <c r="AT409" s="354"/>
      <c r="AU409" s="354"/>
      <c r="AV409" s="354"/>
      <c r="AW409" s="354"/>
    </row>
    <row r="410" spans="1:49">
      <c r="A410" s="354"/>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row>
    <row r="411" spans="1:49">
      <c r="A411" s="354"/>
      <c r="B411" s="354"/>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Y411" s="354"/>
      <c r="Z411" s="354"/>
      <c r="AA411" s="354"/>
      <c r="AB411" s="354"/>
      <c r="AC411" s="354"/>
      <c r="AD411" s="354"/>
      <c r="AE411" s="354"/>
      <c r="AF411" s="354"/>
      <c r="AG411" s="354"/>
      <c r="AH411" s="354"/>
      <c r="AI411" s="354"/>
      <c r="AJ411" s="354"/>
      <c r="AK411" s="354"/>
      <c r="AL411" s="354"/>
      <c r="AM411" s="354"/>
      <c r="AN411" s="354"/>
      <c r="AO411" s="354"/>
      <c r="AP411" s="354"/>
      <c r="AQ411" s="354"/>
      <c r="AR411" s="354"/>
      <c r="AS411" s="354"/>
      <c r="AT411" s="354"/>
      <c r="AU411" s="354"/>
      <c r="AV411" s="354"/>
      <c r="AW411" s="354"/>
    </row>
    <row r="412" spans="1:49">
      <c r="A412" s="354"/>
      <c r="B412" s="35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row>
    <row r="413" spans="1:49">
      <c r="A413" s="354"/>
      <c r="B413" s="354"/>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Y413" s="354"/>
      <c r="Z413" s="354"/>
      <c r="AA413" s="354"/>
      <c r="AB413" s="354"/>
      <c r="AC413" s="354"/>
      <c r="AD413" s="354"/>
      <c r="AE413" s="354"/>
      <c r="AF413" s="354"/>
      <c r="AG413" s="354"/>
      <c r="AH413" s="354"/>
      <c r="AI413" s="354"/>
      <c r="AJ413" s="354"/>
      <c r="AK413" s="354"/>
      <c r="AL413" s="354"/>
      <c r="AM413" s="354"/>
      <c r="AN413" s="354"/>
      <c r="AO413" s="354"/>
      <c r="AP413" s="354"/>
      <c r="AQ413" s="354"/>
      <c r="AR413" s="354"/>
      <c r="AS413" s="354"/>
      <c r="AT413" s="354"/>
      <c r="AU413" s="354"/>
      <c r="AV413" s="354"/>
      <c r="AW413" s="354"/>
    </row>
    <row r="414" spans="1:49">
      <c r="A414" s="354"/>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c r="AA414" s="354"/>
      <c r="AB414" s="354"/>
      <c r="AC414" s="354"/>
      <c r="AD414" s="354"/>
      <c r="AE414" s="354"/>
      <c r="AF414" s="354"/>
      <c r="AG414" s="354"/>
      <c r="AH414" s="354"/>
      <c r="AI414" s="354"/>
      <c r="AJ414" s="354"/>
      <c r="AK414" s="354"/>
      <c r="AL414" s="354"/>
      <c r="AM414" s="354"/>
      <c r="AN414" s="354"/>
      <c r="AO414" s="354"/>
      <c r="AP414" s="354"/>
      <c r="AQ414" s="354"/>
      <c r="AR414" s="354"/>
      <c r="AS414" s="354"/>
      <c r="AT414" s="354"/>
      <c r="AU414" s="354"/>
      <c r="AV414" s="354"/>
      <c r="AW414" s="354"/>
    </row>
    <row r="415" spans="1:49">
      <c r="A415" s="354"/>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c r="AA415" s="354"/>
      <c r="AB415" s="354"/>
      <c r="AC415" s="354"/>
      <c r="AD415" s="354"/>
      <c r="AE415" s="354"/>
      <c r="AF415" s="354"/>
      <c r="AG415" s="354"/>
      <c r="AH415" s="354"/>
      <c r="AI415" s="354"/>
      <c r="AJ415" s="354"/>
      <c r="AK415" s="354"/>
      <c r="AL415" s="354"/>
      <c r="AM415" s="354"/>
      <c r="AN415" s="354"/>
      <c r="AO415" s="354"/>
      <c r="AP415" s="354"/>
      <c r="AQ415" s="354"/>
      <c r="AR415" s="354"/>
      <c r="AS415" s="354"/>
      <c r="AT415" s="354"/>
      <c r="AU415" s="354"/>
      <c r="AV415" s="354"/>
      <c r="AW415" s="354"/>
    </row>
    <row r="416" spans="1:49">
      <c r="A416" s="354"/>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row>
    <row r="417" spans="1:49">
      <c r="A417" s="354"/>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c r="AA417" s="354"/>
      <c r="AB417" s="354"/>
      <c r="AC417" s="354"/>
      <c r="AD417" s="354"/>
      <c r="AE417" s="354"/>
      <c r="AF417" s="354"/>
      <c r="AG417" s="354"/>
      <c r="AH417" s="354"/>
      <c r="AI417" s="354"/>
      <c r="AJ417" s="354"/>
      <c r="AK417" s="354"/>
      <c r="AL417" s="354"/>
      <c r="AM417" s="354"/>
      <c r="AN417" s="354"/>
      <c r="AO417" s="354"/>
      <c r="AP417" s="354"/>
      <c r="AQ417" s="354"/>
      <c r="AR417" s="354"/>
      <c r="AS417" s="354"/>
      <c r="AT417" s="354"/>
      <c r="AU417" s="354"/>
      <c r="AV417" s="354"/>
      <c r="AW417" s="354"/>
    </row>
    <row r="418" spans="1:49">
      <c r="A418" s="354"/>
      <c r="B418" s="354"/>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c r="AA418" s="354"/>
      <c r="AB418" s="354"/>
      <c r="AC418" s="354"/>
      <c r="AD418" s="354"/>
      <c r="AE418" s="354"/>
      <c r="AF418" s="354"/>
      <c r="AG418" s="354"/>
      <c r="AH418" s="354"/>
      <c r="AI418" s="354"/>
      <c r="AJ418" s="354"/>
      <c r="AK418" s="354"/>
      <c r="AL418" s="354"/>
      <c r="AM418" s="354"/>
      <c r="AN418" s="354"/>
      <c r="AO418" s="354"/>
      <c r="AP418" s="354"/>
      <c r="AQ418" s="354"/>
      <c r="AR418" s="354"/>
      <c r="AS418" s="354"/>
      <c r="AT418" s="354"/>
      <c r="AU418" s="354"/>
      <c r="AV418" s="354"/>
      <c r="AW418" s="354"/>
    </row>
    <row r="419" spans="1:49">
      <c r="A419" s="354"/>
      <c r="B419" s="354"/>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Y419" s="354"/>
      <c r="Z419" s="354"/>
      <c r="AA419" s="354"/>
      <c r="AB419" s="354"/>
      <c r="AC419" s="354"/>
      <c r="AD419" s="354"/>
      <c r="AE419" s="354"/>
      <c r="AF419" s="354"/>
      <c r="AG419" s="354"/>
      <c r="AH419" s="354"/>
      <c r="AI419" s="354"/>
      <c r="AJ419" s="354"/>
      <c r="AK419" s="354"/>
      <c r="AL419" s="354"/>
      <c r="AM419" s="354"/>
      <c r="AN419" s="354"/>
      <c r="AO419" s="354"/>
      <c r="AP419" s="354"/>
      <c r="AQ419" s="354"/>
      <c r="AR419" s="354"/>
      <c r="AS419" s="354"/>
      <c r="AT419" s="354"/>
      <c r="AU419" s="354"/>
      <c r="AV419" s="354"/>
      <c r="AW419" s="354"/>
    </row>
    <row r="420" spans="1:49">
      <c r="A420" s="354"/>
      <c r="B420" s="354"/>
      <c r="C420" s="354"/>
      <c r="D420" s="354"/>
      <c r="E420" s="354"/>
      <c r="F420" s="354"/>
      <c r="G420" s="354"/>
      <c r="H420" s="354"/>
      <c r="I420" s="354"/>
      <c r="J420" s="354"/>
      <c r="K420" s="354"/>
      <c r="L420" s="354"/>
      <c r="M420" s="354"/>
      <c r="N420" s="354"/>
      <c r="O420" s="354"/>
      <c r="P420" s="354"/>
      <c r="Q420" s="354"/>
      <c r="R420" s="354"/>
      <c r="S420" s="354"/>
      <c r="T420" s="354"/>
      <c r="U420" s="354"/>
      <c r="V420" s="354"/>
      <c r="W420" s="354"/>
      <c r="X420" s="354"/>
      <c r="Y420" s="354"/>
      <c r="Z420" s="354"/>
      <c r="AA420" s="354"/>
      <c r="AB420" s="354"/>
      <c r="AC420" s="354"/>
      <c r="AD420" s="354"/>
      <c r="AE420" s="354"/>
      <c r="AF420" s="354"/>
      <c r="AG420" s="354"/>
      <c r="AH420" s="354"/>
      <c r="AI420" s="354"/>
      <c r="AJ420" s="354"/>
      <c r="AK420" s="354"/>
      <c r="AL420" s="354"/>
      <c r="AM420" s="354"/>
      <c r="AN420" s="354"/>
      <c r="AO420" s="354"/>
      <c r="AP420" s="354"/>
      <c r="AQ420" s="354"/>
      <c r="AR420" s="354"/>
      <c r="AS420" s="354"/>
      <c r="AT420" s="354"/>
      <c r="AU420" s="354"/>
      <c r="AV420" s="354"/>
      <c r="AW420" s="354"/>
    </row>
    <row r="421" spans="1:49">
      <c r="A421" s="354"/>
      <c r="B421" s="354"/>
      <c r="C421" s="354"/>
      <c r="D421" s="354"/>
      <c r="E421" s="354"/>
      <c r="F421" s="354"/>
      <c r="G421" s="354"/>
      <c r="H421" s="354"/>
      <c r="I421" s="354"/>
      <c r="J421" s="354"/>
      <c r="K421" s="354"/>
      <c r="L421" s="354"/>
      <c r="M421" s="354"/>
      <c r="N421" s="354"/>
      <c r="O421" s="354"/>
      <c r="P421" s="354"/>
      <c r="Q421" s="354"/>
      <c r="R421" s="354"/>
      <c r="S421" s="354"/>
      <c r="T421" s="354"/>
      <c r="U421" s="354"/>
      <c r="V421" s="354"/>
      <c r="W421" s="354"/>
      <c r="X421" s="354"/>
      <c r="Y421" s="354"/>
      <c r="Z421" s="354"/>
      <c r="AA421" s="354"/>
      <c r="AB421" s="354"/>
      <c r="AC421" s="354"/>
      <c r="AD421" s="354"/>
      <c r="AE421" s="354"/>
      <c r="AF421" s="354"/>
      <c r="AG421" s="354"/>
      <c r="AH421" s="354"/>
      <c r="AI421" s="354"/>
      <c r="AJ421" s="354"/>
      <c r="AK421" s="354"/>
      <c r="AL421" s="354"/>
      <c r="AM421" s="354"/>
      <c r="AN421" s="354"/>
      <c r="AO421" s="354"/>
      <c r="AP421" s="354"/>
      <c r="AQ421" s="354"/>
      <c r="AR421" s="354"/>
      <c r="AS421" s="354"/>
      <c r="AT421" s="354"/>
      <c r="AU421" s="354"/>
      <c r="AV421" s="354"/>
      <c r="AW421" s="354"/>
    </row>
    <row r="422" spans="1:49">
      <c r="A422" s="354"/>
      <c r="B422" s="35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row>
    <row r="423" spans="1:49">
      <c r="A423" s="354"/>
      <c r="B423" s="354"/>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Y423" s="354"/>
      <c r="Z423" s="354"/>
      <c r="AA423" s="354"/>
      <c r="AB423" s="354"/>
      <c r="AC423" s="354"/>
      <c r="AD423" s="354"/>
      <c r="AE423" s="354"/>
      <c r="AF423" s="354"/>
      <c r="AG423" s="354"/>
      <c r="AH423" s="354"/>
      <c r="AI423" s="354"/>
      <c r="AJ423" s="354"/>
      <c r="AK423" s="354"/>
      <c r="AL423" s="354"/>
      <c r="AM423" s="354"/>
      <c r="AN423" s="354"/>
      <c r="AO423" s="354"/>
      <c r="AP423" s="354"/>
      <c r="AQ423" s="354"/>
      <c r="AR423" s="354"/>
      <c r="AS423" s="354"/>
      <c r="AT423" s="354"/>
      <c r="AU423" s="354"/>
      <c r="AV423" s="354"/>
      <c r="AW423" s="354"/>
    </row>
    <row r="424" spans="1:49">
      <c r="A424" s="354"/>
      <c r="B424" s="354"/>
      <c r="C424" s="354"/>
      <c r="D424" s="354"/>
      <c r="E424" s="354"/>
      <c r="F424" s="354"/>
      <c r="G424" s="354"/>
      <c r="H424" s="354"/>
      <c r="I424" s="354"/>
      <c r="J424" s="354"/>
      <c r="K424" s="354"/>
      <c r="L424" s="354"/>
      <c r="M424" s="354"/>
      <c r="N424" s="354"/>
      <c r="O424" s="354"/>
      <c r="P424" s="354"/>
      <c r="Q424" s="354"/>
      <c r="R424" s="354"/>
      <c r="S424" s="354"/>
      <c r="T424" s="354"/>
      <c r="U424" s="354"/>
      <c r="V424" s="354"/>
      <c r="W424" s="354"/>
      <c r="X424" s="354"/>
      <c r="Y424" s="354"/>
      <c r="Z424" s="354"/>
      <c r="AA424" s="354"/>
      <c r="AB424" s="354"/>
      <c r="AC424" s="354"/>
      <c r="AD424" s="354"/>
      <c r="AE424" s="354"/>
      <c r="AF424" s="354"/>
      <c r="AG424" s="354"/>
      <c r="AH424" s="354"/>
      <c r="AI424" s="354"/>
      <c r="AJ424" s="354"/>
      <c r="AK424" s="354"/>
      <c r="AL424" s="354"/>
      <c r="AM424" s="354"/>
      <c r="AN424" s="354"/>
      <c r="AO424" s="354"/>
      <c r="AP424" s="354"/>
      <c r="AQ424" s="354"/>
      <c r="AR424" s="354"/>
      <c r="AS424" s="354"/>
      <c r="AT424" s="354"/>
      <c r="AU424" s="354"/>
      <c r="AV424" s="354"/>
      <c r="AW424" s="354"/>
    </row>
    <row r="425" spans="1:49">
      <c r="A425" s="354"/>
      <c r="B425" s="35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row>
    <row r="426" spans="1:49">
      <c r="A426" s="354"/>
      <c r="B426" s="354"/>
      <c r="C426" s="354"/>
      <c r="D426" s="354"/>
      <c r="E426" s="354"/>
      <c r="F426" s="354"/>
      <c r="G426" s="354"/>
      <c r="H426" s="354"/>
      <c r="I426" s="354"/>
      <c r="J426" s="354"/>
      <c r="K426" s="354"/>
      <c r="L426" s="354"/>
      <c r="M426" s="354"/>
      <c r="N426" s="354"/>
      <c r="O426" s="354"/>
      <c r="P426" s="354"/>
      <c r="Q426" s="354"/>
      <c r="R426" s="354"/>
      <c r="S426" s="354"/>
      <c r="T426" s="354"/>
      <c r="U426" s="354"/>
      <c r="V426" s="354"/>
      <c r="W426" s="354"/>
      <c r="X426" s="354"/>
      <c r="Y426" s="354"/>
      <c r="Z426" s="354"/>
      <c r="AA426" s="354"/>
      <c r="AB426" s="354"/>
      <c r="AC426" s="354"/>
      <c r="AD426" s="354"/>
      <c r="AE426" s="354"/>
      <c r="AF426" s="354"/>
      <c r="AG426" s="354"/>
      <c r="AH426" s="354"/>
      <c r="AI426" s="354"/>
      <c r="AJ426" s="354"/>
      <c r="AK426" s="354"/>
      <c r="AL426" s="354"/>
      <c r="AM426" s="354"/>
      <c r="AN426" s="354"/>
      <c r="AO426" s="354"/>
      <c r="AP426" s="354"/>
      <c r="AQ426" s="354"/>
      <c r="AR426" s="354"/>
      <c r="AS426" s="354"/>
      <c r="AT426" s="354"/>
      <c r="AU426" s="354"/>
      <c r="AV426" s="354"/>
      <c r="AW426" s="354"/>
    </row>
    <row r="427" spans="1:49">
      <c r="A427" s="354"/>
      <c r="B427" s="354"/>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c r="AA427" s="354"/>
      <c r="AB427" s="354"/>
      <c r="AC427" s="354"/>
      <c r="AD427" s="354"/>
      <c r="AE427" s="354"/>
      <c r="AF427" s="354"/>
      <c r="AG427" s="354"/>
      <c r="AH427" s="354"/>
      <c r="AI427" s="354"/>
      <c r="AJ427" s="354"/>
      <c r="AK427" s="354"/>
      <c r="AL427" s="354"/>
      <c r="AM427" s="354"/>
      <c r="AN427" s="354"/>
      <c r="AO427" s="354"/>
      <c r="AP427" s="354"/>
      <c r="AQ427" s="354"/>
      <c r="AR427" s="354"/>
      <c r="AS427" s="354"/>
      <c r="AT427" s="354"/>
      <c r="AU427" s="354"/>
      <c r="AV427" s="354"/>
      <c r="AW427" s="354"/>
    </row>
    <row r="428" spans="1:49">
      <c r="A428" s="354"/>
      <c r="B428" s="354"/>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c r="AA428" s="354"/>
      <c r="AB428" s="354"/>
      <c r="AC428" s="354"/>
      <c r="AD428" s="354"/>
      <c r="AE428" s="354"/>
      <c r="AF428" s="354"/>
      <c r="AG428" s="354"/>
      <c r="AH428" s="354"/>
      <c r="AI428" s="354"/>
      <c r="AJ428" s="354"/>
      <c r="AK428" s="354"/>
      <c r="AL428" s="354"/>
      <c r="AM428" s="354"/>
      <c r="AN428" s="354"/>
      <c r="AO428" s="354"/>
      <c r="AP428" s="354"/>
      <c r="AQ428" s="354"/>
      <c r="AR428" s="354"/>
      <c r="AS428" s="354"/>
      <c r="AT428" s="354"/>
      <c r="AU428" s="354"/>
      <c r="AV428" s="354"/>
      <c r="AW428" s="354"/>
    </row>
    <row r="429" spans="1:49">
      <c r="A429" s="354"/>
      <c r="B429" s="354"/>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c r="AA429" s="354"/>
      <c r="AB429" s="354"/>
      <c r="AC429" s="354"/>
      <c r="AD429" s="354"/>
      <c r="AE429" s="354"/>
      <c r="AF429" s="354"/>
      <c r="AG429" s="354"/>
      <c r="AH429" s="354"/>
      <c r="AI429" s="354"/>
      <c r="AJ429" s="354"/>
      <c r="AK429" s="354"/>
      <c r="AL429" s="354"/>
      <c r="AM429" s="354"/>
      <c r="AN429" s="354"/>
      <c r="AO429" s="354"/>
      <c r="AP429" s="354"/>
      <c r="AQ429" s="354"/>
      <c r="AR429" s="354"/>
      <c r="AS429" s="354"/>
      <c r="AT429" s="354"/>
      <c r="AU429" s="354"/>
      <c r="AV429" s="354"/>
      <c r="AW429" s="354"/>
    </row>
    <row r="430" spans="1:49">
      <c r="A430" s="354"/>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c r="AA430" s="354"/>
      <c r="AB430" s="354"/>
      <c r="AC430" s="354"/>
      <c r="AD430" s="354"/>
      <c r="AE430" s="354"/>
      <c r="AF430" s="354"/>
      <c r="AG430" s="354"/>
      <c r="AH430" s="354"/>
      <c r="AI430" s="354"/>
      <c r="AJ430" s="354"/>
      <c r="AK430" s="354"/>
      <c r="AL430" s="354"/>
      <c r="AM430" s="354"/>
      <c r="AN430" s="354"/>
      <c r="AO430" s="354"/>
      <c r="AP430" s="354"/>
      <c r="AQ430" s="354"/>
      <c r="AR430" s="354"/>
      <c r="AS430" s="354"/>
      <c r="AT430" s="354"/>
      <c r="AU430" s="354"/>
      <c r="AV430" s="354"/>
      <c r="AW430" s="354"/>
    </row>
    <row r="431" spans="1:49">
      <c r="A431" s="354"/>
      <c r="B431" s="354"/>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c r="AA431" s="354"/>
      <c r="AB431" s="354"/>
      <c r="AC431" s="354"/>
      <c r="AD431" s="354"/>
      <c r="AE431" s="354"/>
      <c r="AF431" s="354"/>
      <c r="AG431" s="354"/>
      <c r="AH431" s="354"/>
      <c r="AI431" s="354"/>
      <c r="AJ431" s="354"/>
      <c r="AK431" s="354"/>
      <c r="AL431" s="354"/>
      <c r="AM431" s="354"/>
      <c r="AN431" s="354"/>
      <c r="AO431" s="354"/>
      <c r="AP431" s="354"/>
      <c r="AQ431" s="354"/>
      <c r="AR431" s="354"/>
      <c r="AS431" s="354"/>
      <c r="AT431" s="354"/>
      <c r="AU431" s="354"/>
      <c r="AV431" s="354"/>
      <c r="AW431" s="354"/>
    </row>
    <row r="432" spans="1:49">
      <c r="A432" s="354"/>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row>
    <row r="433" spans="1:49">
      <c r="A433" s="354"/>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54"/>
      <c r="AE433" s="354"/>
      <c r="AF433" s="354"/>
      <c r="AG433" s="354"/>
      <c r="AH433" s="354"/>
      <c r="AI433" s="354"/>
      <c r="AJ433" s="354"/>
      <c r="AK433" s="354"/>
      <c r="AL433" s="354"/>
      <c r="AM433" s="354"/>
      <c r="AN433" s="354"/>
      <c r="AO433" s="354"/>
      <c r="AP433" s="354"/>
      <c r="AQ433" s="354"/>
      <c r="AR433" s="354"/>
      <c r="AS433" s="354"/>
      <c r="AT433" s="354"/>
      <c r="AU433" s="354"/>
      <c r="AV433" s="354"/>
      <c r="AW433" s="354"/>
    </row>
    <row r="434" spans="1:49">
      <c r="A434" s="354"/>
      <c r="B434" s="354"/>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c r="AA434" s="354"/>
      <c r="AB434" s="354"/>
      <c r="AC434" s="354"/>
      <c r="AD434" s="354"/>
      <c r="AE434" s="354"/>
      <c r="AF434" s="354"/>
      <c r="AG434" s="354"/>
      <c r="AH434" s="354"/>
      <c r="AI434" s="354"/>
      <c r="AJ434" s="354"/>
      <c r="AK434" s="354"/>
      <c r="AL434" s="354"/>
      <c r="AM434" s="354"/>
      <c r="AN434" s="354"/>
      <c r="AO434" s="354"/>
      <c r="AP434" s="354"/>
      <c r="AQ434" s="354"/>
      <c r="AR434" s="354"/>
      <c r="AS434" s="354"/>
      <c r="AT434" s="354"/>
      <c r="AU434" s="354"/>
      <c r="AV434" s="354"/>
      <c r="AW434" s="354"/>
    </row>
    <row r="435" spans="1:49">
      <c r="A435" s="354"/>
      <c r="B435" s="354"/>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c r="AA435" s="354"/>
      <c r="AB435" s="354"/>
      <c r="AC435" s="354"/>
      <c r="AD435" s="354"/>
      <c r="AE435" s="354"/>
      <c r="AF435" s="354"/>
      <c r="AG435" s="354"/>
      <c r="AH435" s="354"/>
      <c r="AI435" s="354"/>
      <c r="AJ435" s="354"/>
      <c r="AK435" s="354"/>
      <c r="AL435" s="354"/>
      <c r="AM435" s="354"/>
      <c r="AN435" s="354"/>
      <c r="AO435" s="354"/>
      <c r="AP435" s="354"/>
      <c r="AQ435" s="354"/>
      <c r="AR435" s="354"/>
      <c r="AS435" s="354"/>
      <c r="AT435" s="354"/>
      <c r="AU435" s="354"/>
      <c r="AV435" s="354"/>
      <c r="AW435" s="354"/>
    </row>
    <row r="436" spans="1:49">
      <c r="A436" s="354"/>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c r="AA436" s="354"/>
      <c r="AB436" s="354"/>
      <c r="AC436" s="354"/>
      <c r="AD436" s="354"/>
      <c r="AE436" s="354"/>
      <c r="AF436" s="354"/>
      <c r="AG436" s="354"/>
      <c r="AH436" s="354"/>
      <c r="AI436" s="354"/>
      <c r="AJ436" s="354"/>
      <c r="AK436" s="354"/>
      <c r="AL436" s="354"/>
      <c r="AM436" s="354"/>
      <c r="AN436" s="354"/>
      <c r="AO436" s="354"/>
      <c r="AP436" s="354"/>
      <c r="AQ436" s="354"/>
      <c r="AR436" s="354"/>
      <c r="AS436" s="354"/>
      <c r="AT436" s="354"/>
      <c r="AU436" s="354"/>
      <c r="AV436" s="354"/>
      <c r="AW436" s="354"/>
    </row>
    <row r="437" spans="1:49">
      <c r="A437" s="354"/>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c r="AA437" s="354"/>
      <c r="AB437" s="354"/>
      <c r="AC437" s="354"/>
      <c r="AD437" s="354"/>
      <c r="AE437" s="354"/>
      <c r="AF437" s="354"/>
      <c r="AG437" s="354"/>
      <c r="AH437" s="354"/>
      <c r="AI437" s="354"/>
      <c r="AJ437" s="354"/>
      <c r="AK437" s="354"/>
      <c r="AL437" s="354"/>
      <c r="AM437" s="354"/>
      <c r="AN437" s="354"/>
      <c r="AO437" s="354"/>
      <c r="AP437" s="354"/>
      <c r="AQ437" s="354"/>
      <c r="AR437" s="354"/>
      <c r="AS437" s="354"/>
      <c r="AT437" s="354"/>
      <c r="AU437" s="354"/>
      <c r="AV437" s="354"/>
      <c r="AW437" s="354"/>
    </row>
    <row r="438" spans="1:49">
      <c r="A438" s="354"/>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c r="AA438" s="354"/>
      <c r="AB438" s="354"/>
      <c r="AC438" s="354"/>
      <c r="AD438" s="354"/>
      <c r="AE438" s="354"/>
      <c r="AF438" s="354"/>
      <c r="AG438" s="354"/>
      <c r="AH438" s="354"/>
      <c r="AI438" s="354"/>
      <c r="AJ438" s="354"/>
      <c r="AK438" s="354"/>
      <c r="AL438" s="354"/>
      <c r="AM438" s="354"/>
      <c r="AN438" s="354"/>
      <c r="AO438" s="354"/>
      <c r="AP438" s="354"/>
      <c r="AQ438" s="354"/>
      <c r="AR438" s="354"/>
      <c r="AS438" s="354"/>
      <c r="AT438" s="354"/>
      <c r="AU438" s="354"/>
      <c r="AV438" s="354"/>
      <c r="AW438" s="354"/>
    </row>
    <row r="439" spans="1:49">
      <c r="A439" s="354"/>
      <c r="B439" s="354"/>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c r="AA439" s="354"/>
      <c r="AB439" s="354"/>
      <c r="AC439" s="354"/>
      <c r="AD439" s="354"/>
      <c r="AE439" s="354"/>
      <c r="AF439" s="354"/>
      <c r="AG439" s="354"/>
      <c r="AH439" s="354"/>
      <c r="AI439" s="354"/>
      <c r="AJ439" s="354"/>
      <c r="AK439" s="354"/>
      <c r="AL439" s="354"/>
      <c r="AM439" s="354"/>
      <c r="AN439" s="354"/>
      <c r="AO439" s="354"/>
      <c r="AP439" s="354"/>
      <c r="AQ439" s="354"/>
      <c r="AR439" s="354"/>
      <c r="AS439" s="354"/>
      <c r="AT439" s="354"/>
      <c r="AU439" s="354"/>
      <c r="AV439" s="354"/>
      <c r="AW439" s="354"/>
    </row>
    <row r="440" spans="1:49">
      <c r="A440" s="354"/>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c r="AA440" s="354"/>
      <c r="AB440" s="354"/>
      <c r="AC440" s="354"/>
      <c r="AD440" s="354"/>
      <c r="AE440" s="354"/>
      <c r="AF440" s="354"/>
      <c r="AG440" s="354"/>
      <c r="AH440" s="354"/>
      <c r="AI440" s="354"/>
      <c r="AJ440" s="354"/>
      <c r="AK440" s="354"/>
      <c r="AL440" s="354"/>
      <c r="AM440" s="354"/>
      <c r="AN440" s="354"/>
      <c r="AO440" s="354"/>
      <c r="AP440" s="354"/>
      <c r="AQ440" s="354"/>
      <c r="AR440" s="354"/>
      <c r="AS440" s="354"/>
      <c r="AT440" s="354"/>
      <c r="AU440" s="354"/>
      <c r="AV440" s="354"/>
      <c r="AW440" s="354"/>
    </row>
    <row r="441" spans="1:49">
      <c r="A441" s="354"/>
      <c r="B441" s="354"/>
      <c r="C441" s="354"/>
      <c r="D441" s="354"/>
      <c r="E441" s="354"/>
      <c r="F441" s="354"/>
      <c r="G441" s="354"/>
      <c r="H441" s="354"/>
      <c r="I441" s="354"/>
      <c r="J441" s="354"/>
      <c r="K441" s="354"/>
      <c r="L441" s="354"/>
      <c r="M441" s="354"/>
      <c r="N441" s="354"/>
      <c r="O441" s="354"/>
      <c r="P441" s="354"/>
      <c r="Q441" s="354"/>
      <c r="R441" s="354"/>
      <c r="S441" s="354"/>
      <c r="T441" s="354"/>
      <c r="U441" s="354"/>
      <c r="V441" s="354"/>
      <c r="W441" s="354"/>
      <c r="X441" s="354"/>
      <c r="Y441" s="354"/>
      <c r="Z441" s="354"/>
      <c r="AA441" s="354"/>
      <c r="AB441" s="354"/>
      <c r="AC441" s="354"/>
      <c r="AD441" s="354"/>
      <c r="AE441" s="354"/>
      <c r="AF441" s="354"/>
      <c r="AG441" s="354"/>
      <c r="AH441" s="354"/>
      <c r="AI441" s="354"/>
      <c r="AJ441" s="354"/>
      <c r="AK441" s="354"/>
      <c r="AL441" s="354"/>
      <c r="AM441" s="354"/>
      <c r="AN441" s="354"/>
      <c r="AO441" s="354"/>
      <c r="AP441" s="354"/>
      <c r="AQ441" s="354"/>
      <c r="AR441" s="354"/>
      <c r="AS441" s="354"/>
      <c r="AT441" s="354"/>
      <c r="AU441" s="354"/>
      <c r="AV441" s="354"/>
      <c r="AW441" s="354"/>
    </row>
    <row r="442" spans="1:49">
      <c r="A442" s="354"/>
      <c r="B442" s="35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row>
    <row r="443" spans="1:49">
      <c r="A443" s="354"/>
      <c r="B443" s="35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row>
    <row r="444" spans="1:49">
      <c r="A444" s="354"/>
      <c r="B444" s="354"/>
      <c r="C444" s="354"/>
      <c r="D444" s="354"/>
      <c r="E444" s="354"/>
      <c r="F444" s="354"/>
      <c r="G444" s="354"/>
      <c r="H444" s="354"/>
      <c r="I444" s="354"/>
      <c r="J444" s="354"/>
      <c r="K444" s="354"/>
      <c r="L444" s="354"/>
      <c r="M444" s="354"/>
      <c r="N444" s="354"/>
      <c r="O444" s="354"/>
      <c r="P444" s="354"/>
      <c r="Q444" s="354"/>
      <c r="R444" s="354"/>
      <c r="S444" s="354"/>
      <c r="T444" s="354"/>
      <c r="U444" s="354"/>
      <c r="V444" s="354"/>
      <c r="W444" s="354"/>
      <c r="X444" s="354"/>
      <c r="Y444" s="354"/>
      <c r="Z444" s="354"/>
      <c r="AA444" s="354"/>
      <c r="AB444" s="354"/>
      <c r="AC444" s="354"/>
      <c r="AD444" s="354"/>
      <c r="AE444" s="354"/>
      <c r="AF444" s="354"/>
      <c r="AG444" s="354"/>
      <c r="AH444" s="354"/>
      <c r="AI444" s="354"/>
      <c r="AJ444" s="354"/>
      <c r="AK444" s="354"/>
      <c r="AL444" s="354"/>
      <c r="AM444" s="354"/>
      <c r="AN444" s="354"/>
      <c r="AO444" s="354"/>
      <c r="AP444" s="354"/>
      <c r="AQ444" s="354"/>
      <c r="AR444" s="354"/>
      <c r="AS444" s="354"/>
      <c r="AT444" s="354"/>
      <c r="AU444" s="354"/>
      <c r="AV444" s="354"/>
      <c r="AW444" s="354"/>
    </row>
    <row r="445" spans="1:49">
      <c r="A445" s="354"/>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c r="AA445" s="354"/>
      <c r="AB445" s="354"/>
      <c r="AC445" s="354"/>
      <c r="AD445" s="354"/>
      <c r="AE445" s="354"/>
      <c r="AF445" s="354"/>
      <c r="AG445" s="354"/>
      <c r="AH445" s="354"/>
      <c r="AI445" s="354"/>
      <c r="AJ445" s="354"/>
      <c r="AK445" s="354"/>
      <c r="AL445" s="354"/>
      <c r="AM445" s="354"/>
      <c r="AN445" s="354"/>
      <c r="AO445" s="354"/>
      <c r="AP445" s="354"/>
      <c r="AQ445" s="354"/>
      <c r="AR445" s="354"/>
      <c r="AS445" s="354"/>
      <c r="AT445" s="354"/>
      <c r="AU445" s="354"/>
      <c r="AV445" s="354"/>
      <c r="AW445" s="354"/>
    </row>
    <row r="446" spans="1:49">
      <c r="A446" s="354"/>
      <c r="B446" s="35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row>
    <row r="447" spans="1:49">
      <c r="A447" s="354"/>
      <c r="B447" s="354"/>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c r="AA447" s="354"/>
      <c r="AB447" s="354"/>
      <c r="AC447" s="354"/>
      <c r="AD447" s="354"/>
      <c r="AE447" s="354"/>
      <c r="AF447" s="354"/>
      <c r="AG447" s="354"/>
      <c r="AH447" s="354"/>
      <c r="AI447" s="354"/>
      <c r="AJ447" s="354"/>
      <c r="AK447" s="354"/>
      <c r="AL447" s="354"/>
      <c r="AM447" s="354"/>
      <c r="AN447" s="354"/>
      <c r="AO447" s="354"/>
      <c r="AP447" s="354"/>
      <c r="AQ447" s="354"/>
      <c r="AR447" s="354"/>
      <c r="AS447" s="354"/>
      <c r="AT447" s="354"/>
      <c r="AU447" s="354"/>
      <c r="AV447" s="354"/>
      <c r="AW447" s="354"/>
    </row>
    <row r="448" spans="1:49">
      <c r="A448" s="354"/>
      <c r="B448" s="354"/>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c r="AA448" s="354"/>
      <c r="AB448" s="354"/>
      <c r="AC448" s="354"/>
      <c r="AD448" s="354"/>
      <c r="AE448" s="354"/>
      <c r="AF448" s="354"/>
      <c r="AG448" s="354"/>
      <c r="AH448" s="354"/>
      <c r="AI448" s="354"/>
      <c r="AJ448" s="354"/>
      <c r="AK448" s="354"/>
      <c r="AL448" s="354"/>
      <c r="AM448" s="354"/>
      <c r="AN448" s="354"/>
      <c r="AO448" s="354"/>
      <c r="AP448" s="354"/>
      <c r="AQ448" s="354"/>
      <c r="AR448" s="354"/>
      <c r="AS448" s="354"/>
      <c r="AT448" s="354"/>
      <c r="AU448" s="354"/>
      <c r="AV448" s="354"/>
      <c r="AW448" s="354"/>
    </row>
    <row r="449" spans="1:49">
      <c r="A449" s="354"/>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c r="AA449" s="354"/>
      <c r="AB449" s="354"/>
      <c r="AC449" s="354"/>
      <c r="AD449" s="354"/>
      <c r="AE449" s="354"/>
      <c r="AF449" s="354"/>
      <c r="AG449" s="354"/>
      <c r="AH449" s="354"/>
      <c r="AI449" s="354"/>
      <c r="AJ449" s="354"/>
      <c r="AK449" s="354"/>
      <c r="AL449" s="354"/>
      <c r="AM449" s="354"/>
      <c r="AN449" s="354"/>
      <c r="AO449" s="354"/>
      <c r="AP449" s="354"/>
      <c r="AQ449" s="354"/>
      <c r="AR449" s="354"/>
      <c r="AS449" s="354"/>
      <c r="AT449" s="354"/>
      <c r="AU449" s="354"/>
      <c r="AV449" s="354"/>
      <c r="AW449" s="354"/>
    </row>
    <row r="450" spans="1:49">
      <c r="A450" s="354"/>
      <c r="B450" s="354"/>
      <c r="C450" s="354"/>
      <c r="D450" s="354"/>
      <c r="E450" s="354"/>
      <c r="F450" s="354"/>
      <c r="G450" s="354"/>
      <c r="H450" s="354"/>
      <c r="I450" s="354"/>
      <c r="J450" s="354"/>
      <c r="K450" s="354"/>
      <c r="L450" s="354"/>
      <c r="M450" s="354"/>
      <c r="N450" s="354"/>
      <c r="O450" s="354"/>
      <c r="P450" s="354"/>
      <c r="Q450" s="354"/>
      <c r="R450" s="354"/>
      <c r="S450" s="354"/>
      <c r="T450" s="354"/>
      <c r="U450" s="354"/>
      <c r="V450" s="354"/>
      <c r="W450" s="354"/>
      <c r="X450" s="354"/>
      <c r="Y450" s="354"/>
      <c r="Z450" s="354"/>
      <c r="AA450" s="354"/>
      <c r="AB450" s="354"/>
      <c r="AC450" s="354"/>
      <c r="AD450" s="354"/>
      <c r="AE450" s="354"/>
      <c r="AF450" s="354"/>
      <c r="AG450" s="354"/>
      <c r="AH450" s="354"/>
      <c r="AI450" s="354"/>
      <c r="AJ450" s="354"/>
      <c r="AK450" s="354"/>
      <c r="AL450" s="354"/>
      <c r="AM450" s="354"/>
      <c r="AN450" s="354"/>
      <c r="AO450" s="354"/>
      <c r="AP450" s="354"/>
      <c r="AQ450" s="354"/>
      <c r="AR450" s="354"/>
      <c r="AS450" s="354"/>
      <c r="AT450" s="354"/>
      <c r="AU450" s="354"/>
      <c r="AV450" s="354"/>
      <c r="AW450" s="354"/>
    </row>
    <row r="451" spans="1:49">
      <c r="A451" s="354"/>
      <c r="B451" s="354"/>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Y451" s="354"/>
      <c r="Z451" s="354"/>
      <c r="AA451" s="354"/>
      <c r="AB451" s="354"/>
      <c r="AC451" s="354"/>
      <c r="AD451" s="354"/>
      <c r="AE451" s="354"/>
      <c r="AF451" s="354"/>
      <c r="AG451" s="354"/>
      <c r="AH451" s="354"/>
      <c r="AI451" s="354"/>
      <c r="AJ451" s="354"/>
      <c r="AK451" s="354"/>
      <c r="AL451" s="354"/>
      <c r="AM451" s="354"/>
      <c r="AN451" s="354"/>
      <c r="AO451" s="354"/>
      <c r="AP451" s="354"/>
      <c r="AQ451" s="354"/>
      <c r="AR451" s="354"/>
      <c r="AS451" s="354"/>
      <c r="AT451" s="354"/>
      <c r="AU451" s="354"/>
      <c r="AV451" s="354"/>
      <c r="AW451" s="354"/>
    </row>
    <row r="452" spans="1:49">
      <c r="A452" s="354"/>
      <c r="B452" s="35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row>
    <row r="453" spans="1:49">
      <c r="A453" s="354"/>
      <c r="B453" s="354"/>
      <c r="C453" s="354"/>
      <c r="D453" s="354"/>
      <c r="E453" s="354"/>
      <c r="F453" s="354"/>
      <c r="G453" s="354"/>
      <c r="H453" s="354"/>
      <c r="I453" s="354"/>
      <c r="J453" s="354"/>
      <c r="K453" s="354"/>
      <c r="L453" s="354"/>
      <c r="M453" s="354"/>
      <c r="N453" s="354"/>
      <c r="O453" s="354"/>
      <c r="P453" s="354"/>
      <c r="Q453" s="354"/>
      <c r="R453" s="354"/>
      <c r="S453" s="354"/>
      <c r="T453" s="354"/>
      <c r="U453" s="354"/>
      <c r="V453" s="354"/>
      <c r="W453" s="354"/>
      <c r="X453" s="354"/>
      <c r="Y453" s="354"/>
      <c r="Z453" s="354"/>
      <c r="AA453" s="354"/>
      <c r="AB453" s="354"/>
      <c r="AC453" s="354"/>
      <c r="AD453" s="354"/>
      <c r="AE453" s="354"/>
      <c r="AF453" s="354"/>
      <c r="AG453" s="354"/>
      <c r="AH453" s="354"/>
      <c r="AI453" s="354"/>
      <c r="AJ453" s="354"/>
      <c r="AK453" s="354"/>
      <c r="AL453" s="354"/>
      <c r="AM453" s="354"/>
      <c r="AN453" s="354"/>
      <c r="AO453" s="354"/>
      <c r="AP453" s="354"/>
      <c r="AQ453" s="354"/>
      <c r="AR453" s="354"/>
      <c r="AS453" s="354"/>
      <c r="AT453" s="354"/>
      <c r="AU453" s="354"/>
      <c r="AV453" s="354"/>
      <c r="AW453" s="354"/>
    </row>
    <row r="454" spans="1:49">
      <c r="A454" s="354"/>
      <c r="B454" s="354"/>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4"/>
      <c r="Z454" s="354"/>
      <c r="AA454" s="354"/>
      <c r="AB454" s="354"/>
      <c r="AC454" s="354"/>
      <c r="AD454" s="354"/>
      <c r="AE454" s="354"/>
      <c r="AF454" s="354"/>
      <c r="AG454" s="354"/>
      <c r="AH454" s="354"/>
      <c r="AI454" s="354"/>
      <c r="AJ454" s="354"/>
      <c r="AK454" s="354"/>
      <c r="AL454" s="354"/>
      <c r="AM454" s="354"/>
      <c r="AN454" s="354"/>
      <c r="AO454" s="354"/>
      <c r="AP454" s="354"/>
      <c r="AQ454" s="354"/>
      <c r="AR454" s="354"/>
      <c r="AS454" s="354"/>
      <c r="AT454" s="354"/>
      <c r="AU454" s="354"/>
      <c r="AV454" s="354"/>
      <c r="AW454" s="354"/>
    </row>
    <row r="455" spans="1:49">
      <c r="A455" s="354"/>
      <c r="B455" s="354"/>
      <c r="C455" s="354"/>
      <c r="D455" s="354"/>
      <c r="E455" s="354"/>
      <c r="F455" s="354"/>
      <c r="G455" s="354"/>
      <c r="H455" s="354"/>
      <c r="I455" s="354"/>
      <c r="J455" s="354"/>
      <c r="K455" s="354"/>
      <c r="L455" s="354"/>
      <c r="M455" s="354"/>
      <c r="N455" s="354"/>
      <c r="O455" s="354"/>
      <c r="P455" s="354"/>
      <c r="Q455" s="354"/>
      <c r="R455" s="354"/>
      <c r="S455" s="354"/>
      <c r="T455" s="354"/>
      <c r="U455" s="354"/>
      <c r="V455" s="354"/>
      <c r="W455" s="354"/>
      <c r="X455" s="354"/>
      <c r="Y455" s="354"/>
      <c r="Z455" s="354"/>
      <c r="AA455" s="354"/>
      <c r="AB455" s="354"/>
      <c r="AC455" s="354"/>
      <c r="AD455" s="354"/>
      <c r="AE455" s="354"/>
      <c r="AF455" s="354"/>
      <c r="AG455" s="354"/>
      <c r="AH455" s="354"/>
      <c r="AI455" s="354"/>
      <c r="AJ455" s="354"/>
      <c r="AK455" s="354"/>
      <c r="AL455" s="354"/>
      <c r="AM455" s="354"/>
      <c r="AN455" s="354"/>
      <c r="AO455" s="354"/>
      <c r="AP455" s="354"/>
      <c r="AQ455" s="354"/>
      <c r="AR455" s="354"/>
      <c r="AS455" s="354"/>
      <c r="AT455" s="354"/>
      <c r="AU455" s="354"/>
      <c r="AV455" s="354"/>
      <c r="AW455" s="354"/>
    </row>
    <row r="456" spans="1:49">
      <c r="A456" s="354"/>
      <c r="B456" s="354"/>
      <c r="C456" s="354"/>
      <c r="D456" s="354"/>
      <c r="E456" s="354"/>
      <c r="F456" s="354"/>
      <c r="G456" s="354"/>
      <c r="H456" s="354"/>
      <c r="I456" s="354"/>
      <c r="J456" s="354"/>
      <c r="K456" s="354"/>
      <c r="L456" s="354"/>
      <c r="M456" s="354"/>
      <c r="N456" s="354"/>
      <c r="O456" s="354"/>
      <c r="P456" s="354"/>
      <c r="Q456" s="354"/>
      <c r="R456" s="354"/>
      <c r="S456" s="354"/>
      <c r="T456" s="354"/>
      <c r="U456" s="354"/>
      <c r="V456" s="354"/>
      <c r="W456" s="354"/>
      <c r="X456" s="354"/>
      <c r="Y456" s="354"/>
      <c r="Z456" s="354"/>
      <c r="AA456" s="354"/>
      <c r="AB456" s="354"/>
      <c r="AC456" s="354"/>
      <c r="AD456" s="354"/>
      <c r="AE456" s="354"/>
      <c r="AF456" s="354"/>
      <c r="AG456" s="354"/>
      <c r="AH456" s="354"/>
      <c r="AI456" s="354"/>
      <c r="AJ456" s="354"/>
      <c r="AK456" s="354"/>
      <c r="AL456" s="354"/>
      <c r="AM456" s="354"/>
      <c r="AN456" s="354"/>
      <c r="AO456" s="354"/>
      <c r="AP456" s="354"/>
      <c r="AQ456" s="354"/>
      <c r="AR456" s="354"/>
      <c r="AS456" s="354"/>
      <c r="AT456" s="354"/>
      <c r="AU456" s="354"/>
      <c r="AV456" s="354"/>
      <c r="AW456" s="354"/>
    </row>
    <row r="457" spans="1:49">
      <c r="A457" s="354"/>
      <c r="B457" s="354"/>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Y457" s="354"/>
      <c r="Z457" s="354"/>
      <c r="AA457" s="354"/>
      <c r="AB457" s="354"/>
      <c r="AC457" s="354"/>
      <c r="AD457" s="354"/>
      <c r="AE457" s="354"/>
      <c r="AF457" s="354"/>
      <c r="AG457" s="354"/>
      <c r="AH457" s="354"/>
      <c r="AI457" s="354"/>
      <c r="AJ457" s="354"/>
      <c r="AK457" s="354"/>
      <c r="AL457" s="354"/>
      <c r="AM457" s="354"/>
      <c r="AN457" s="354"/>
      <c r="AO457" s="354"/>
      <c r="AP457" s="354"/>
      <c r="AQ457" s="354"/>
      <c r="AR457" s="354"/>
      <c r="AS457" s="354"/>
      <c r="AT457" s="354"/>
      <c r="AU457" s="354"/>
      <c r="AV457" s="354"/>
      <c r="AW457" s="354"/>
    </row>
    <row r="458" spans="1:49">
      <c r="A458" s="354"/>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row>
    <row r="459" spans="1:49">
      <c r="A459" s="354"/>
      <c r="B459" s="354"/>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c r="AA459" s="354"/>
      <c r="AB459" s="354"/>
      <c r="AC459" s="354"/>
      <c r="AD459" s="354"/>
      <c r="AE459" s="354"/>
      <c r="AF459" s="354"/>
      <c r="AG459" s="354"/>
      <c r="AH459" s="354"/>
      <c r="AI459" s="354"/>
      <c r="AJ459" s="354"/>
      <c r="AK459" s="354"/>
      <c r="AL459" s="354"/>
      <c r="AM459" s="354"/>
      <c r="AN459" s="354"/>
      <c r="AO459" s="354"/>
      <c r="AP459" s="354"/>
      <c r="AQ459" s="354"/>
      <c r="AR459" s="354"/>
      <c r="AS459" s="354"/>
      <c r="AT459" s="354"/>
      <c r="AU459" s="354"/>
      <c r="AV459" s="354"/>
      <c r="AW459" s="354"/>
    </row>
    <row r="460" spans="1:49">
      <c r="A460" s="354"/>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c r="AA460" s="354"/>
      <c r="AB460" s="354"/>
      <c r="AC460" s="354"/>
      <c r="AD460" s="354"/>
      <c r="AE460" s="354"/>
      <c r="AF460" s="354"/>
      <c r="AG460" s="354"/>
      <c r="AH460" s="354"/>
      <c r="AI460" s="354"/>
      <c r="AJ460" s="354"/>
      <c r="AK460" s="354"/>
      <c r="AL460" s="354"/>
      <c r="AM460" s="354"/>
      <c r="AN460" s="354"/>
      <c r="AO460" s="354"/>
      <c r="AP460" s="354"/>
      <c r="AQ460" s="354"/>
      <c r="AR460" s="354"/>
      <c r="AS460" s="354"/>
      <c r="AT460" s="354"/>
      <c r="AU460" s="354"/>
      <c r="AV460" s="354"/>
      <c r="AW460" s="354"/>
    </row>
    <row r="461" spans="1:49">
      <c r="A461" s="354"/>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c r="AA461" s="354"/>
      <c r="AB461" s="354"/>
      <c r="AC461" s="354"/>
      <c r="AD461" s="354"/>
      <c r="AE461" s="354"/>
      <c r="AF461" s="354"/>
      <c r="AG461" s="354"/>
      <c r="AH461" s="354"/>
      <c r="AI461" s="354"/>
      <c r="AJ461" s="354"/>
      <c r="AK461" s="354"/>
      <c r="AL461" s="354"/>
      <c r="AM461" s="354"/>
      <c r="AN461" s="354"/>
      <c r="AO461" s="354"/>
      <c r="AP461" s="354"/>
      <c r="AQ461" s="354"/>
      <c r="AR461" s="354"/>
      <c r="AS461" s="354"/>
      <c r="AT461" s="354"/>
      <c r="AU461" s="354"/>
      <c r="AV461" s="354"/>
      <c r="AW461" s="354"/>
    </row>
    <row r="462" spans="1:49">
      <c r="A462" s="354"/>
      <c r="B462" s="35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row>
    <row r="463" spans="1:49">
      <c r="A463" s="354"/>
      <c r="B463" s="354"/>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54"/>
      <c r="AE463" s="354"/>
      <c r="AF463" s="354"/>
      <c r="AG463" s="354"/>
      <c r="AH463" s="354"/>
      <c r="AI463" s="354"/>
      <c r="AJ463" s="354"/>
      <c r="AK463" s="354"/>
      <c r="AL463" s="354"/>
      <c r="AM463" s="354"/>
      <c r="AN463" s="354"/>
      <c r="AO463" s="354"/>
      <c r="AP463" s="354"/>
      <c r="AQ463" s="354"/>
      <c r="AR463" s="354"/>
      <c r="AS463" s="354"/>
      <c r="AT463" s="354"/>
      <c r="AU463" s="354"/>
      <c r="AV463" s="354"/>
      <c r="AW463" s="354"/>
    </row>
    <row r="464" spans="1:49">
      <c r="A464" s="354"/>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c r="AA464" s="354"/>
      <c r="AB464" s="354"/>
      <c r="AC464" s="354"/>
      <c r="AD464" s="354"/>
      <c r="AE464" s="354"/>
      <c r="AF464" s="354"/>
      <c r="AG464" s="354"/>
      <c r="AH464" s="354"/>
      <c r="AI464" s="354"/>
      <c r="AJ464" s="354"/>
      <c r="AK464" s="354"/>
      <c r="AL464" s="354"/>
      <c r="AM464" s="354"/>
      <c r="AN464" s="354"/>
      <c r="AO464" s="354"/>
      <c r="AP464" s="354"/>
      <c r="AQ464" s="354"/>
      <c r="AR464" s="354"/>
      <c r="AS464" s="354"/>
      <c r="AT464" s="354"/>
      <c r="AU464" s="354"/>
      <c r="AV464" s="354"/>
      <c r="AW464" s="354"/>
    </row>
    <row r="465" spans="1:49">
      <c r="A465" s="354"/>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c r="AA465" s="354"/>
      <c r="AB465" s="354"/>
      <c r="AC465" s="354"/>
      <c r="AD465" s="354"/>
      <c r="AE465" s="354"/>
      <c r="AF465" s="354"/>
      <c r="AG465" s="354"/>
      <c r="AH465" s="354"/>
      <c r="AI465" s="354"/>
      <c r="AJ465" s="354"/>
      <c r="AK465" s="354"/>
      <c r="AL465" s="354"/>
      <c r="AM465" s="354"/>
      <c r="AN465" s="354"/>
      <c r="AO465" s="354"/>
      <c r="AP465" s="354"/>
      <c r="AQ465" s="354"/>
      <c r="AR465" s="354"/>
      <c r="AS465" s="354"/>
      <c r="AT465" s="354"/>
      <c r="AU465" s="354"/>
      <c r="AV465" s="354"/>
      <c r="AW465" s="354"/>
    </row>
    <row r="466" spans="1:49">
      <c r="A466" s="354"/>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c r="AA466" s="354"/>
      <c r="AB466" s="354"/>
      <c r="AC466" s="354"/>
      <c r="AD466" s="354"/>
      <c r="AE466" s="354"/>
      <c r="AF466" s="354"/>
      <c r="AG466" s="354"/>
      <c r="AH466" s="354"/>
      <c r="AI466" s="354"/>
      <c r="AJ466" s="354"/>
      <c r="AK466" s="354"/>
      <c r="AL466" s="354"/>
      <c r="AM466" s="354"/>
      <c r="AN466" s="354"/>
      <c r="AO466" s="354"/>
      <c r="AP466" s="354"/>
      <c r="AQ466" s="354"/>
      <c r="AR466" s="354"/>
      <c r="AS466" s="354"/>
      <c r="AT466" s="354"/>
      <c r="AU466" s="354"/>
      <c r="AV466" s="354"/>
      <c r="AW466" s="354"/>
    </row>
    <row r="467" spans="1:49">
      <c r="A467" s="354"/>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c r="AA467" s="354"/>
      <c r="AB467" s="354"/>
      <c r="AC467" s="354"/>
      <c r="AD467" s="354"/>
      <c r="AE467" s="354"/>
      <c r="AF467" s="354"/>
      <c r="AG467" s="354"/>
      <c r="AH467" s="354"/>
      <c r="AI467" s="354"/>
      <c r="AJ467" s="354"/>
      <c r="AK467" s="354"/>
      <c r="AL467" s="354"/>
      <c r="AM467" s="354"/>
      <c r="AN467" s="354"/>
      <c r="AO467" s="354"/>
      <c r="AP467" s="354"/>
      <c r="AQ467" s="354"/>
      <c r="AR467" s="354"/>
      <c r="AS467" s="354"/>
      <c r="AT467" s="354"/>
      <c r="AU467" s="354"/>
      <c r="AV467" s="354"/>
      <c r="AW467" s="354"/>
    </row>
    <row r="468" spans="1:49">
      <c r="A468" s="354"/>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c r="AA468" s="354"/>
      <c r="AB468" s="354"/>
      <c r="AC468" s="354"/>
      <c r="AD468" s="354"/>
      <c r="AE468" s="354"/>
      <c r="AF468" s="354"/>
      <c r="AG468" s="354"/>
      <c r="AH468" s="354"/>
      <c r="AI468" s="354"/>
      <c r="AJ468" s="354"/>
      <c r="AK468" s="354"/>
      <c r="AL468" s="354"/>
      <c r="AM468" s="354"/>
      <c r="AN468" s="354"/>
      <c r="AO468" s="354"/>
      <c r="AP468" s="354"/>
      <c r="AQ468" s="354"/>
      <c r="AR468" s="354"/>
      <c r="AS468" s="354"/>
      <c r="AT468" s="354"/>
      <c r="AU468" s="354"/>
      <c r="AV468" s="354"/>
      <c r="AW468" s="354"/>
    </row>
    <row r="469" spans="1:49">
      <c r="A469" s="354"/>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c r="AA469" s="354"/>
      <c r="AB469" s="354"/>
      <c r="AC469" s="354"/>
      <c r="AD469" s="354"/>
      <c r="AE469" s="354"/>
      <c r="AF469" s="354"/>
      <c r="AG469" s="354"/>
      <c r="AH469" s="354"/>
      <c r="AI469" s="354"/>
      <c r="AJ469" s="354"/>
      <c r="AK469" s="354"/>
      <c r="AL469" s="354"/>
      <c r="AM469" s="354"/>
      <c r="AN469" s="354"/>
      <c r="AO469" s="354"/>
      <c r="AP469" s="354"/>
      <c r="AQ469" s="354"/>
      <c r="AR469" s="354"/>
      <c r="AS469" s="354"/>
      <c r="AT469" s="354"/>
      <c r="AU469" s="354"/>
      <c r="AV469" s="354"/>
      <c r="AW469" s="354"/>
    </row>
    <row r="470" spans="1:49">
      <c r="A470" s="354"/>
      <c r="B470" s="35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row>
    <row r="471" spans="1:49">
      <c r="A471" s="354"/>
      <c r="B471" s="354"/>
      <c r="C471" s="354"/>
      <c r="D471" s="354"/>
      <c r="E471" s="354"/>
      <c r="F471" s="354"/>
      <c r="G471" s="354"/>
      <c r="H471" s="354"/>
      <c r="I471" s="354"/>
      <c r="J471" s="354"/>
      <c r="K471" s="354"/>
      <c r="L471" s="354"/>
      <c r="M471" s="354"/>
      <c r="N471" s="354"/>
      <c r="O471" s="354"/>
      <c r="P471" s="354"/>
      <c r="Q471" s="354"/>
      <c r="R471" s="354"/>
      <c r="S471" s="354"/>
      <c r="T471" s="354"/>
      <c r="U471" s="354"/>
      <c r="V471" s="354"/>
      <c r="W471" s="354"/>
      <c r="X471" s="354"/>
      <c r="Y471" s="354"/>
      <c r="Z471" s="354"/>
      <c r="AA471" s="354"/>
      <c r="AB471" s="354"/>
      <c r="AC471" s="354"/>
      <c r="AD471" s="354"/>
      <c r="AE471" s="354"/>
      <c r="AF471" s="354"/>
      <c r="AG471" s="354"/>
      <c r="AH471" s="354"/>
      <c r="AI471" s="354"/>
      <c r="AJ471" s="354"/>
      <c r="AK471" s="354"/>
      <c r="AL471" s="354"/>
      <c r="AM471" s="354"/>
      <c r="AN471" s="354"/>
      <c r="AO471" s="354"/>
      <c r="AP471" s="354"/>
      <c r="AQ471" s="354"/>
      <c r="AR471" s="354"/>
      <c r="AS471" s="354"/>
      <c r="AT471" s="354"/>
      <c r="AU471" s="354"/>
      <c r="AV471" s="354"/>
      <c r="AW471" s="354"/>
    </row>
    <row r="472" spans="1:49">
      <c r="A472" s="354"/>
      <c r="B472" s="35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row>
    <row r="473" spans="1:49">
      <c r="A473" s="354"/>
      <c r="B473" s="354"/>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Y473" s="354"/>
      <c r="Z473" s="354"/>
      <c r="AA473" s="354"/>
      <c r="AB473" s="354"/>
      <c r="AC473" s="354"/>
      <c r="AD473" s="354"/>
      <c r="AE473" s="354"/>
      <c r="AF473" s="354"/>
      <c r="AG473" s="354"/>
      <c r="AH473" s="354"/>
      <c r="AI473" s="354"/>
      <c r="AJ473" s="354"/>
      <c r="AK473" s="354"/>
      <c r="AL473" s="354"/>
      <c r="AM473" s="354"/>
      <c r="AN473" s="354"/>
      <c r="AO473" s="354"/>
      <c r="AP473" s="354"/>
      <c r="AQ473" s="354"/>
      <c r="AR473" s="354"/>
      <c r="AS473" s="354"/>
      <c r="AT473" s="354"/>
      <c r="AU473" s="354"/>
      <c r="AV473" s="354"/>
      <c r="AW473" s="354"/>
    </row>
    <row r="474" spans="1:49">
      <c r="A474" s="354"/>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54"/>
      <c r="AE474" s="354"/>
      <c r="AF474" s="354"/>
      <c r="AG474" s="354"/>
      <c r="AH474" s="354"/>
      <c r="AI474" s="354"/>
      <c r="AJ474" s="354"/>
      <c r="AK474" s="354"/>
      <c r="AL474" s="354"/>
      <c r="AM474" s="354"/>
      <c r="AN474" s="354"/>
      <c r="AO474" s="354"/>
      <c r="AP474" s="354"/>
      <c r="AQ474" s="354"/>
      <c r="AR474" s="354"/>
      <c r="AS474" s="354"/>
      <c r="AT474" s="354"/>
      <c r="AU474" s="354"/>
      <c r="AV474" s="354"/>
      <c r="AW474" s="354"/>
    </row>
    <row r="475" spans="1:49">
      <c r="A475" s="354"/>
      <c r="B475" s="354"/>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c r="AA475" s="354"/>
      <c r="AB475" s="354"/>
      <c r="AC475" s="354"/>
      <c r="AD475" s="354"/>
      <c r="AE475" s="354"/>
      <c r="AF475" s="354"/>
      <c r="AG475" s="354"/>
      <c r="AH475" s="354"/>
      <c r="AI475" s="354"/>
      <c r="AJ475" s="354"/>
      <c r="AK475" s="354"/>
      <c r="AL475" s="354"/>
      <c r="AM475" s="354"/>
      <c r="AN475" s="354"/>
      <c r="AO475" s="354"/>
      <c r="AP475" s="354"/>
      <c r="AQ475" s="354"/>
      <c r="AR475" s="354"/>
      <c r="AS475" s="354"/>
      <c r="AT475" s="354"/>
      <c r="AU475" s="354"/>
      <c r="AV475" s="354"/>
      <c r="AW475" s="354"/>
    </row>
    <row r="476" spans="1:49">
      <c r="A476" s="354"/>
      <c r="B476" s="354"/>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c r="AA476" s="354"/>
      <c r="AB476" s="354"/>
      <c r="AC476" s="354"/>
      <c r="AD476" s="354"/>
      <c r="AE476" s="354"/>
      <c r="AF476" s="354"/>
      <c r="AG476" s="354"/>
      <c r="AH476" s="354"/>
      <c r="AI476" s="354"/>
      <c r="AJ476" s="354"/>
      <c r="AK476" s="354"/>
      <c r="AL476" s="354"/>
      <c r="AM476" s="354"/>
      <c r="AN476" s="354"/>
      <c r="AO476" s="354"/>
      <c r="AP476" s="354"/>
      <c r="AQ476" s="354"/>
      <c r="AR476" s="354"/>
      <c r="AS476" s="354"/>
      <c r="AT476" s="354"/>
      <c r="AU476" s="354"/>
      <c r="AV476" s="354"/>
      <c r="AW476" s="354"/>
    </row>
    <row r="477" spans="1:49">
      <c r="A477" s="354"/>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54"/>
      <c r="AE477" s="354"/>
      <c r="AF477" s="354"/>
      <c r="AG477" s="354"/>
      <c r="AH477" s="354"/>
      <c r="AI477" s="354"/>
      <c r="AJ477" s="354"/>
      <c r="AK477" s="354"/>
      <c r="AL477" s="354"/>
      <c r="AM477" s="354"/>
      <c r="AN477" s="354"/>
      <c r="AO477" s="354"/>
      <c r="AP477" s="354"/>
      <c r="AQ477" s="354"/>
      <c r="AR477" s="354"/>
      <c r="AS477" s="354"/>
      <c r="AT477" s="354"/>
      <c r="AU477" s="354"/>
      <c r="AV477" s="354"/>
      <c r="AW477" s="354"/>
    </row>
    <row r="478" spans="1:49">
      <c r="A478" s="354"/>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c r="AA478" s="354"/>
      <c r="AB478" s="354"/>
      <c r="AC478" s="354"/>
      <c r="AD478" s="354"/>
      <c r="AE478" s="354"/>
      <c r="AF478" s="354"/>
      <c r="AG478" s="354"/>
      <c r="AH478" s="354"/>
      <c r="AI478" s="354"/>
      <c r="AJ478" s="354"/>
      <c r="AK478" s="354"/>
      <c r="AL478" s="354"/>
      <c r="AM478" s="354"/>
      <c r="AN478" s="354"/>
      <c r="AO478" s="354"/>
      <c r="AP478" s="354"/>
      <c r="AQ478" s="354"/>
      <c r="AR478" s="354"/>
      <c r="AS478" s="354"/>
      <c r="AT478" s="354"/>
      <c r="AU478" s="354"/>
      <c r="AV478" s="354"/>
      <c r="AW478" s="354"/>
    </row>
    <row r="479" spans="1:49">
      <c r="A479" s="354"/>
      <c r="B479" s="35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row>
    <row r="480" spans="1:49">
      <c r="A480" s="354"/>
      <c r="B480" s="354"/>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Y480" s="354"/>
      <c r="Z480" s="354"/>
      <c r="AA480" s="354"/>
      <c r="AB480" s="354"/>
      <c r="AC480" s="354"/>
      <c r="AD480" s="354"/>
      <c r="AE480" s="354"/>
      <c r="AF480" s="354"/>
      <c r="AG480" s="354"/>
      <c r="AH480" s="354"/>
      <c r="AI480" s="354"/>
      <c r="AJ480" s="354"/>
      <c r="AK480" s="354"/>
      <c r="AL480" s="354"/>
      <c r="AM480" s="354"/>
      <c r="AN480" s="354"/>
      <c r="AO480" s="354"/>
      <c r="AP480" s="354"/>
      <c r="AQ480" s="354"/>
      <c r="AR480" s="354"/>
      <c r="AS480" s="354"/>
      <c r="AT480" s="354"/>
      <c r="AU480" s="354"/>
      <c r="AV480" s="354"/>
      <c r="AW480" s="354"/>
    </row>
    <row r="481" spans="1:49">
      <c r="A481" s="354"/>
      <c r="B481" s="354"/>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Y481" s="354"/>
      <c r="Z481" s="354"/>
      <c r="AA481" s="354"/>
      <c r="AB481" s="354"/>
      <c r="AC481" s="354"/>
      <c r="AD481" s="354"/>
      <c r="AE481" s="354"/>
      <c r="AF481" s="354"/>
      <c r="AG481" s="354"/>
      <c r="AH481" s="354"/>
      <c r="AI481" s="354"/>
      <c r="AJ481" s="354"/>
      <c r="AK481" s="354"/>
      <c r="AL481" s="354"/>
      <c r="AM481" s="354"/>
      <c r="AN481" s="354"/>
      <c r="AO481" s="354"/>
      <c r="AP481" s="354"/>
      <c r="AQ481" s="354"/>
      <c r="AR481" s="354"/>
      <c r="AS481" s="354"/>
      <c r="AT481" s="354"/>
      <c r="AU481" s="354"/>
      <c r="AV481" s="354"/>
      <c r="AW481" s="354"/>
    </row>
    <row r="482" spans="1:49">
      <c r="A482" s="354"/>
      <c r="B482" s="35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row>
    <row r="483" spans="1:49">
      <c r="A483" s="354"/>
      <c r="B483" s="354"/>
      <c r="C483" s="354"/>
      <c r="D483" s="354"/>
      <c r="E483" s="354"/>
      <c r="F483" s="354"/>
      <c r="G483" s="354"/>
      <c r="H483" s="354"/>
      <c r="I483" s="354"/>
      <c r="J483" s="354"/>
      <c r="K483" s="354"/>
      <c r="L483" s="354"/>
      <c r="M483" s="354"/>
      <c r="N483" s="354"/>
      <c r="O483" s="354"/>
      <c r="P483" s="354"/>
      <c r="Q483" s="354"/>
      <c r="R483" s="354"/>
      <c r="S483" s="354"/>
      <c r="T483" s="354"/>
      <c r="U483" s="354"/>
      <c r="V483" s="354"/>
      <c r="W483" s="354"/>
      <c r="X483" s="354"/>
      <c r="Y483" s="354"/>
      <c r="Z483" s="354"/>
      <c r="AA483" s="354"/>
      <c r="AB483" s="354"/>
      <c r="AC483" s="354"/>
      <c r="AD483" s="354"/>
      <c r="AE483" s="354"/>
      <c r="AF483" s="354"/>
      <c r="AG483" s="354"/>
      <c r="AH483" s="354"/>
      <c r="AI483" s="354"/>
      <c r="AJ483" s="354"/>
      <c r="AK483" s="354"/>
      <c r="AL483" s="354"/>
      <c r="AM483" s="354"/>
      <c r="AN483" s="354"/>
      <c r="AO483" s="354"/>
      <c r="AP483" s="354"/>
      <c r="AQ483" s="354"/>
      <c r="AR483" s="354"/>
      <c r="AS483" s="354"/>
      <c r="AT483" s="354"/>
      <c r="AU483" s="354"/>
      <c r="AV483" s="354"/>
      <c r="AW483" s="354"/>
    </row>
    <row r="484" spans="1:49">
      <c r="A484" s="354"/>
      <c r="B484" s="354"/>
      <c r="C484" s="354"/>
      <c r="D484" s="354"/>
      <c r="E484" s="354"/>
      <c r="F484" s="354"/>
      <c r="G484" s="354"/>
      <c r="H484" s="354"/>
      <c r="I484" s="354"/>
      <c r="J484" s="354"/>
      <c r="K484" s="354"/>
      <c r="L484" s="354"/>
      <c r="M484" s="354"/>
      <c r="N484" s="354"/>
      <c r="O484" s="354"/>
      <c r="P484" s="354"/>
      <c r="Q484" s="354"/>
      <c r="R484" s="354"/>
      <c r="S484" s="354"/>
      <c r="T484" s="354"/>
      <c r="U484" s="354"/>
      <c r="V484" s="354"/>
      <c r="W484" s="354"/>
      <c r="X484" s="354"/>
      <c r="Y484" s="354"/>
      <c r="Z484" s="354"/>
      <c r="AA484" s="354"/>
      <c r="AB484" s="354"/>
      <c r="AC484" s="354"/>
      <c r="AD484" s="354"/>
      <c r="AE484" s="354"/>
      <c r="AF484" s="354"/>
      <c r="AG484" s="354"/>
      <c r="AH484" s="354"/>
      <c r="AI484" s="354"/>
      <c r="AJ484" s="354"/>
      <c r="AK484" s="354"/>
      <c r="AL484" s="354"/>
      <c r="AM484" s="354"/>
      <c r="AN484" s="354"/>
      <c r="AO484" s="354"/>
      <c r="AP484" s="354"/>
      <c r="AQ484" s="354"/>
      <c r="AR484" s="354"/>
      <c r="AS484" s="354"/>
      <c r="AT484" s="354"/>
      <c r="AU484" s="354"/>
      <c r="AV484" s="354"/>
      <c r="AW484" s="354"/>
    </row>
    <row r="485" spans="1:49">
      <c r="A485" s="354"/>
      <c r="B485" s="354"/>
      <c r="C485" s="354"/>
      <c r="D485" s="354"/>
      <c r="E485" s="354"/>
      <c r="F485" s="354"/>
      <c r="G485" s="354"/>
      <c r="H485" s="354"/>
      <c r="I485" s="354"/>
      <c r="J485" s="354"/>
      <c r="K485" s="354"/>
      <c r="L485" s="354"/>
      <c r="M485" s="354"/>
      <c r="N485" s="354"/>
      <c r="O485" s="354"/>
      <c r="P485" s="354"/>
      <c r="Q485" s="354"/>
      <c r="R485" s="354"/>
      <c r="S485" s="354"/>
      <c r="T485" s="354"/>
      <c r="U485" s="354"/>
      <c r="V485" s="354"/>
      <c r="W485" s="354"/>
      <c r="X485" s="354"/>
      <c r="Y485" s="354"/>
      <c r="Z485" s="354"/>
      <c r="AA485" s="354"/>
      <c r="AB485" s="354"/>
      <c r="AC485" s="354"/>
      <c r="AD485" s="354"/>
      <c r="AE485" s="354"/>
      <c r="AF485" s="354"/>
      <c r="AG485" s="354"/>
      <c r="AH485" s="354"/>
      <c r="AI485" s="354"/>
      <c r="AJ485" s="354"/>
      <c r="AK485" s="354"/>
      <c r="AL485" s="354"/>
      <c r="AM485" s="354"/>
      <c r="AN485" s="354"/>
      <c r="AO485" s="354"/>
      <c r="AP485" s="354"/>
      <c r="AQ485" s="354"/>
      <c r="AR485" s="354"/>
      <c r="AS485" s="354"/>
      <c r="AT485" s="354"/>
      <c r="AU485" s="354"/>
      <c r="AV485" s="354"/>
      <c r="AW485" s="354"/>
    </row>
    <row r="486" spans="1:49">
      <c r="A486" s="354"/>
      <c r="B486" s="354"/>
      <c r="C486" s="354"/>
      <c r="D486" s="354"/>
      <c r="E486" s="354"/>
      <c r="F486" s="354"/>
      <c r="G486" s="354"/>
      <c r="H486" s="354"/>
      <c r="I486" s="354"/>
      <c r="J486" s="354"/>
      <c r="K486" s="354"/>
      <c r="L486" s="354"/>
      <c r="M486" s="354"/>
      <c r="N486" s="354"/>
      <c r="O486" s="354"/>
      <c r="P486" s="354"/>
      <c r="Q486" s="354"/>
      <c r="R486" s="354"/>
      <c r="S486" s="354"/>
      <c r="T486" s="354"/>
      <c r="U486" s="354"/>
      <c r="V486" s="354"/>
      <c r="W486" s="354"/>
      <c r="X486" s="354"/>
      <c r="Y486" s="354"/>
      <c r="Z486" s="354"/>
      <c r="AA486" s="354"/>
      <c r="AB486" s="354"/>
      <c r="AC486" s="354"/>
      <c r="AD486" s="354"/>
      <c r="AE486" s="354"/>
      <c r="AF486" s="354"/>
      <c r="AG486" s="354"/>
      <c r="AH486" s="354"/>
      <c r="AI486" s="354"/>
      <c r="AJ486" s="354"/>
      <c r="AK486" s="354"/>
      <c r="AL486" s="354"/>
      <c r="AM486" s="354"/>
      <c r="AN486" s="354"/>
      <c r="AO486" s="354"/>
      <c r="AP486" s="354"/>
      <c r="AQ486" s="354"/>
      <c r="AR486" s="354"/>
      <c r="AS486" s="354"/>
      <c r="AT486" s="354"/>
      <c r="AU486" s="354"/>
      <c r="AV486" s="354"/>
      <c r="AW486" s="354"/>
    </row>
    <row r="487" spans="1:49">
      <c r="A487" s="354"/>
      <c r="B487" s="354"/>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c r="AA487" s="354"/>
      <c r="AB487" s="354"/>
      <c r="AC487" s="354"/>
      <c r="AD487" s="354"/>
      <c r="AE487" s="354"/>
      <c r="AF487" s="354"/>
      <c r="AG487" s="354"/>
      <c r="AH487" s="354"/>
      <c r="AI487" s="354"/>
      <c r="AJ487" s="354"/>
      <c r="AK487" s="354"/>
      <c r="AL487" s="354"/>
      <c r="AM487" s="354"/>
      <c r="AN487" s="354"/>
      <c r="AO487" s="354"/>
      <c r="AP487" s="354"/>
      <c r="AQ487" s="354"/>
      <c r="AR487" s="354"/>
      <c r="AS487" s="354"/>
      <c r="AT487" s="354"/>
      <c r="AU487" s="354"/>
      <c r="AV487" s="354"/>
      <c r="AW487" s="354"/>
    </row>
    <row r="488" spans="1:49">
      <c r="A488" s="354"/>
      <c r="B488" s="354"/>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c r="AA488" s="354"/>
      <c r="AB488" s="354"/>
      <c r="AC488" s="354"/>
      <c r="AD488" s="354"/>
      <c r="AE488" s="354"/>
      <c r="AF488" s="354"/>
      <c r="AG488" s="354"/>
      <c r="AH488" s="354"/>
      <c r="AI488" s="354"/>
      <c r="AJ488" s="354"/>
      <c r="AK488" s="354"/>
      <c r="AL488" s="354"/>
      <c r="AM488" s="354"/>
      <c r="AN488" s="354"/>
      <c r="AO488" s="354"/>
      <c r="AP488" s="354"/>
      <c r="AQ488" s="354"/>
      <c r="AR488" s="354"/>
      <c r="AS488" s="354"/>
      <c r="AT488" s="354"/>
      <c r="AU488" s="354"/>
      <c r="AV488" s="354"/>
      <c r="AW488" s="354"/>
    </row>
    <row r="489" spans="1:49">
      <c r="A489" s="354"/>
      <c r="B489" s="354"/>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54"/>
      <c r="AE489" s="354"/>
      <c r="AF489" s="354"/>
      <c r="AG489" s="354"/>
      <c r="AH489" s="354"/>
      <c r="AI489" s="354"/>
      <c r="AJ489" s="354"/>
      <c r="AK489" s="354"/>
      <c r="AL489" s="354"/>
      <c r="AM489" s="354"/>
      <c r="AN489" s="354"/>
      <c r="AO489" s="354"/>
      <c r="AP489" s="354"/>
      <c r="AQ489" s="354"/>
      <c r="AR489" s="354"/>
      <c r="AS489" s="354"/>
      <c r="AT489" s="354"/>
      <c r="AU489" s="354"/>
      <c r="AV489" s="354"/>
      <c r="AW489" s="354"/>
    </row>
    <row r="490" spans="1:49">
      <c r="A490" s="354"/>
      <c r="B490" s="354"/>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c r="AA490" s="354"/>
      <c r="AB490" s="354"/>
      <c r="AC490" s="354"/>
      <c r="AD490" s="354"/>
      <c r="AE490" s="354"/>
      <c r="AF490" s="354"/>
      <c r="AG490" s="354"/>
      <c r="AH490" s="354"/>
      <c r="AI490" s="354"/>
      <c r="AJ490" s="354"/>
      <c r="AK490" s="354"/>
      <c r="AL490" s="354"/>
      <c r="AM490" s="354"/>
      <c r="AN490" s="354"/>
      <c r="AO490" s="354"/>
      <c r="AP490" s="354"/>
      <c r="AQ490" s="354"/>
      <c r="AR490" s="354"/>
      <c r="AS490" s="354"/>
      <c r="AT490" s="354"/>
      <c r="AU490" s="354"/>
      <c r="AV490" s="354"/>
      <c r="AW490" s="354"/>
    </row>
    <row r="491" spans="1:49">
      <c r="A491" s="354"/>
      <c r="B491" s="354"/>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c r="AA491" s="354"/>
      <c r="AB491" s="354"/>
      <c r="AC491" s="354"/>
      <c r="AD491" s="354"/>
      <c r="AE491" s="354"/>
      <c r="AF491" s="354"/>
      <c r="AG491" s="354"/>
      <c r="AH491" s="354"/>
      <c r="AI491" s="354"/>
      <c r="AJ491" s="354"/>
      <c r="AK491" s="354"/>
      <c r="AL491" s="354"/>
      <c r="AM491" s="354"/>
      <c r="AN491" s="354"/>
      <c r="AO491" s="354"/>
      <c r="AP491" s="354"/>
      <c r="AQ491" s="354"/>
      <c r="AR491" s="354"/>
      <c r="AS491" s="354"/>
      <c r="AT491" s="354"/>
      <c r="AU491" s="354"/>
      <c r="AV491" s="354"/>
      <c r="AW491" s="354"/>
    </row>
    <row r="492" spans="1:49">
      <c r="A492" s="354"/>
      <c r="B492" s="35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row>
    <row r="493" spans="1:49">
      <c r="A493" s="354"/>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c r="AA493" s="354"/>
      <c r="AB493" s="354"/>
      <c r="AC493" s="354"/>
      <c r="AD493" s="354"/>
      <c r="AE493" s="354"/>
      <c r="AF493" s="354"/>
      <c r="AG493" s="354"/>
      <c r="AH493" s="354"/>
      <c r="AI493" s="354"/>
      <c r="AJ493" s="354"/>
      <c r="AK493" s="354"/>
      <c r="AL493" s="354"/>
      <c r="AM493" s="354"/>
      <c r="AN493" s="354"/>
      <c r="AO493" s="354"/>
      <c r="AP493" s="354"/>
      <c r="AQ493" s="354"/>
      <c r="AR493" s="354"/>
      <c r="AS493" s="354"/>
      <c r="AT493" s="354"/>
      <c r="AU493" s="354"/>
      <c r="AV493" s="354"/>
      <c r="AW493" s="354"/>
    </row>
    <row r="494" spans="1:49">
      <c r="A494" s="354"/>
      <c r="B494" s="35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row>
    <row r="495" spans="1:49">
      <c r="A495" s="354"/>
      <c r="B495" s="354"/>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c r="AA495" s="354"/>
      <c r="AB495" s="354"/>
      <c r="AC495" s="354"/>
      <c r="AD495" s="354"/>
      <c r="AE495" s="354"/>
      <c r="AF495" s="354"/>
      <c r="AG495" s="354"/>
      <c r="AH495" s="354"/>
      <c r="AI495" s="354"/>
      <c r="AJ495" s="354"/>
      <c r="AK495" s="354"/>
      <c r="AL495" s="354"/>
      <c r="AM495" s="354"/>
      <c r="AN495" s="354"/>
      <c r="AO495" s="354"/>
      <c r="AP495" s="354"/>
      <c r="AQ495" s="354"/>
      <c r="AR495" s="354"/>
      <c r="AS495" s="354"/>
      <c r="AT495" s="354"/>
      <c r="AU495" s="354"/>
      <c r="AV495" s="354"/>
      <c r="AW495" s="354"/>
    </row>
    <row r="496" spans="1:49">
      <c r="A496" s="354"/>
      <c r="B496" s="354"/>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c r="AA496" s="354"/>
      <c r="AB496" s="354"/>
      <c r="AC496" s="354"/>
      <c r="AD496" s="354"/>
      <c r="AE496" s="354"/>
      <c r="AF496" s="354"/>
      <c r="AG496" s="354"/>
      <c r="AH496" s="354"/>
      <c r="AI496" s="354"/>
      <c r="AJ496" s="354"/>
      <c r="AK496" s="354"/>
      <c r="AL496" s="354"/>
      <c r="AM496" s="354"/>
      <c r="AN496" s="354"/>
      <c r="AO496" s="354"/>
      <c r="AP496" s="354"/>
      <c r="AQ496" s="354"/>
      <c r="AR496" s="354"/>
      <c r="AS496" s="354"/>
      <c r="AT496" s="354"/>
      <c r="AU496" s="354"/>
      <c r="AV496" s="354"/>
      <c r="AW496" s="354"/>
    </row>
    <row r="497" spans="1:49">
      <c r="A497" s="354"/>
      <c r="B497" s="35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row>
    <row r="498" spans="1:49">
      <c r="A498" s="354"/>
      <c r="B498" s="354"/>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Y498" s="354"/>
      <c r="Z498" s="354"/>
      <c r="AA498" s="354"/>
      <c r="AB498" s="354"/>
      <c r="AC498" s="354"/>
      <c r="AD498" s="354"/>
      <c r="AE498" s="354"/>
      <c r="AF498" s="354"/>
      <c r="AG498" s="354"/>
      <c r="AH498" s="354"/>
      <c r="AI498" s="354"/>
      <c r="AJ498" s="354"/>
      <c r="AK498" s="354"/>
      <c r="AL498" s="354"/>
      <c r="AM498" s="354"/>
      <c r="AN498" s="354"/>
      <c r="AO498" s="354"/>
      <c r="AP498" s="354"/>
      <c r="AQ498" s="354"/>
      <c r="AR498" s="354"/>
      <c r="AS498" s="354"/>
      <c r="AT498" s="354"/>
      <c r="AU498" s="354"/>
      <c r="AV498" s="354"/>
      <c r="AW498" s="354"/>
    </row>
    <row r="499" spans="1:49">
      <c r="A499" s="354"/>
      <c r="B499" s="354"/>
      <c r="C499" s="354"/>
      <c r="D499" s="354"/>
      <c r="E499" s="354"/>
      <c r="F499" s="354"/>
      <c r="G499" s="354"/>
      <c r="H499" s="354"/>
      <c r="I499" s="354"/>
      <c r="J499" s="354"/>
      <c r="K499" s="354"/>
      <c r="L499" s="354"/>
      <c r="M499" s="354"/>
      <c r="N499" s="354"/>
      <c r="O499" s="354"/>
      <c r="P499" s="354"/>
      <c r="Q499" s="354"/>
      <c r="R499" s="354"/>
      <c r="S499" s="354"/>
      <c r="T499" s="354"/>
      <c r="U499" s="354"/>
      <c r="V499" s="354"/>
      <c r="W499" s="354"/>
      <c r="X499" s="354"/>
      <c r="Y499" s="354"/>
      <c r="Z499" s="354"/>
      <c r="AA499" s="354"/>
      <c r="AB499" s="354"/>
      <c r="AC499" s="354"/>
      <c r="AD499" s="354"/>
      <c r="AE499" s="354"/>
      <c r="AF499" s="354"/>
      <c r="AG499" s="354"/>
      <c r="AH499" s="354"/>
      <c r="AI499" s="354"/>
      <c r="AJ499" s="354"/>
      <c r="AK499" s="354"/>
      <c r="AL499" s="354"/>
      <c r="AM499" s="354"/>
      <c r="AN499" s="354"/>
      <c r="AO499" s="354"/>
      <c r="AP499" s="354"/>
      <c r="AQ499" s="354"/>
      <c r="AR499" s="354"/>
      <c r="AS499" s="354"/>
      <c r="AT499" s="354"/>
      <c r="AU499" s="354"/>
      <c r="AV499" s="354"/>
      <c r="AW499" s="354"/>
    </row>
    <row r="500" spans="1:49">
      <c r="A500" s="354"/>
      <c r="B500" s="354"/>
      <c r="C500" s="354"/>
      <c r="D500" s="354"/>
      <c r="E500" s="354"/>
      <c r="F500" s="354"/>
      <c r="G500" s="354"/>
      <c r="H500" s="354"/>
      <c r="I500" s="354"/>
      <c r="J500" s="354"/>
      <c r="K500" s="354"/>
      <c r="L500" s="354"/>
      <c r="M500" s="354"/>
      <c r="N500" s="354"/>
      <c r="O500" s="354"/>
      <c r="P500" s="354"/>
      <c r="Q500" s="354"/>
      <c r="R500" s="354"/>
      <c r="S500" s="354"/>
      <c r="T500" s="354"/>
      <c r="U500" s="354"/>
      <c r="V500" s="354"/>
      <c r="W500" s="354"/>
      <c r="X500" s="354"/>
      <c r="Y500" s="354"/>
      <c r="Z500" s="354"/>
      <c r="AA500" s="354"/>
      <c r="AB500" s="354"/>
      <c r="AC500" s="354"/>
      <c r="AD500" s="354"/>
      <c r="AE500" s="354"/>
      <c r="AF500" s="354"/>
      <c r="AG500" s="354"/>
      <c r="AH500" s="354"/>
      <c r="AI500" s="354"/>
      <c r="AJ500" s="354"/>
      <c r="AK500" s="354"/>
      <c r="AL500" s="354"/>
      <c r="AM500" s="354"/>
      <c r="AN500" s="354"/>
      <c r="AO500" s="354"/>
      <c r="AP500" s="354"/>
      <c r="AQ500" s="354"/>
      <c r="AR500" s="354"/>
      <c r="AS500" s="354"/>
      <c r="AT500" s="354"/>
      <c r="AU500" s="354"/>
      <c r="AV500" s="354"/>
      <c r="AW500" s="354"/>
    </row>
    <row r="501" spans="1:49">
      <c r="A501" s="354"/>
      <c r="B501" s="354"/>
      <c r="C501" s="354"/>
      <c r="D501" s="354"/>
      <c r="E501" s="354"/>
      <c r="F501" s="354"/>
      <c r="G501" s="354"/>
      <c r="H501" s="354"/>
      <c r="I501" s="354"/>
      <c r="J501" s="354"/>
      <c r="K501" s="354"/>
      <c r="L501" s="354"/>
      <c r="M501" s="354"/>
      <c r="N501" s="354"/>
      <c r="O501" s="354"/>
      <c r="P501" s="354"/>
      <c r="Q501" s="354"/>
      <c r="R501" s="354"/>
      <c r="S501" s="354"/>
      <c r="T501" s="354"/>
      <c r="U501" s="354"/>
      <c r="V501" s="354"/>
      <c r="W501" s="354"/>
      <c r="X501" s="354"/>
      <c r="Y501" s="354"/>
      <c r="Z501" s="354"/>
      <c r="AA501" s="354"/>
      <c r="AB501" s="354"/>
      <c r="AC501" s="354"/>
      <c r="AD501" s="354"/>
      <c r="AE501" s="354"/>
      <c r="AF501" s="354"/>
      <c r="AG501" s="354"/>
      <c r="AH501" s="354"/>
      <c r="AI501" s="354"/>
      <c r="AJ501" s="354"/>
      <c r="AK501" s="354"/>
      <c r="AL501" s="354"/>
      <c r="AM501" s="354"/>
      <c r="AN501" s="354"/>
      <c r="AO501" s="354"/>
      <c r="AP501" s="354"/>
      <c r="AQ501" s="354"/>
      <c r="AR501" s="354"/>
      <c r="AS501" s="354"/>
      <c r="AT501" s="354"/>
      <c r="AU501" s="354"/>
      <c r="AV501" s="354"/>
      <c r="AW501" s="354"/>
    </row>
    <row r="502" spans="1:49">
      <c r="A502" s="354"/>
      <c r="B502" s="35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row>
    <row r="503" spans="1:49">
      <c r="A503" s="354"/>
      <c r="B503" s="354"/>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c r="AA503" s="354"/>
      <c r="AB503" s="354"/>
      <c r="AC503" s="354"/>
      <c r="AD503" s="354"/>
      <c r="AE503" s="354"/>
      <c r="AF503" s="354"/>
      <c r="AG503" s="354"/>
      <c r="AH503" s="354"/>
      <c r="AI503" s="354"/>
      <c r="AJ503" s="354"/>
      <c r="AK503" s="354"/>
      <c r="AL503" s="354"/>
      <c r="AM503" s="354"/>
      <c r="AN503" s="354"/>
      <c r="AO503" s="354"/>
      <c r="AP503" s="354"/>
      <c r="AQ503" s="354"/>
      <c r="AR503" s="354"/>
      <c r="AS503" s="354"/>
      <c r="AT503" s="354"/>
      <c r="AU503" s="354"/>
      <c r="AV503" s="354"/>
      <c r="AW503" s="354"/>
    </row>
    <row r="504" spans="1:49">
      <c r="A504" s="354"/>
      <c r="B504" s="354"/>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c r="AA504" s="354"/>
      <c r="AB504" s="354"/>
      <c r="AC504" s="354"/>
      <c r="AD504" s="354"/>
      <c r="AE504" s="354"/>
      <c r="AF504" s="354"/>
      <c r="AG504" s="354"/>
      <c r="AH504" s="354"/>
      <c r="AI504" s="354"/>
      <c r="AJ504" s="354"/>
      <c r="AK504" s="354"/>
      <c r="AL504" s="354"/>
      <c r="AM504" s="354"/>
      <c r="AN504" s="354"/>
      <c r="AO504" s="354"/>
      <c r="AP504" s="354"/>
      <c r="AQ504" s="354"/>
      <c r="AR504" s="354"/>
      <c r="AS504" s="354"/>
      <c r="AT504" s="354"/>
      <c r="AU504" s="354"/>
      <c r="AV504" s="354"/>
      <c r="AW504" s="354"/>
    </row>
    <row r="505" spans="1:49">
      <c r="A505" s="354"/>
      <c r="B505" s="354"/>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c r="AA505" s="354"/>
      <c r="AB505" s="354"/>
      <c r="AC505" s="354"/>
      <c r="AD505" s="354"/>
      <c r="AE505" s="354"/>
      <c r="AF505" s="354"/>
      <c r="AG505" s="354"/>
      <c r="AH505" s="354"/>
      <c r="AI505" s="354"/>
      <c r="AJ505" s="354"/>
      <c r="AK505" s="354"/>
      <c r="AL505" s="354"/>
      <c r="AM505" s="354"/>
      <c r="AN505" s="354"/>
      <c r="AO505" s="354"/>
      <c r="AP505" s="354"/>
      <c r="AQ505" s="354"/>
      <c r="AR505" s="354"/>
      <c r="AS505" s="354"/>
      <c r="AT505" s="354"/>
      <c r="AU505" s="354"/>
      <c r="AV505" s="354"/>
      <c r="AW505" s="354"/>
    </row>
    <row r="506" spans="1:49">
      <c r="A506" s="354"/>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row>
    <row r="507" spans="1:49">
      <c r="A507" s="354"/>
      <c r="B507" s="354"/>
      <c r="C507" s="354"/>
      <c r="D507" s="354"/>
      <c r="E507" s="354"/>
      <c r="F507" s="354"/>
      <c r="G507" s="354"/>
      <c r="H507" s="354"/>
      <c r="I507" s="354"/>
      <c r="J507" s="354"/>
      <c r="K507" s="354"/>
      <c r="L507" s="354"/>
      <c r="M507" s="354"/>
      <c r="N507" s="354"/>
      <c r="O507" s="354"/>
      <c r="P507" s="354"/>
      <c r="Q507" s="354"/>
      <c r="R507" s="354"/>
      <c r="S507" s="354"/>
      <c r="T507" s="354"/>
      <c r="U507" s="354"/>
      <c r="V507" s="354"/>
      <c r="W507" s="354"/>
      <c r="X507" s="354"/>
      <c r="Y507" s="354"/>
      <c r="Z507" s="354"/>
      <c r="AA507" s="354"/>
      <c r="AB507" s="354"/>
      <c r="AC507" s="354"/>
      <c r="AD507" s="354"/>
      <c r="AE507" s="354"/>
      <c r="AF507" s="354"/>
      <c r="AG507" s="354"/>
      <c r="AH507" s="354"/>
      <c r="AI507" s="354"/>
      <c r="AJ507" s="354"/>
      <c r="AK507" s="354"/>
      <c r="AL507" s="354"/>
      <c r="AM507" s="354"/>
      <c r="AN507" s="354"/>
      <c r="AO507" s="354"/>
      <c r="AP507" s="354"/>
      <c r="AQ507" s="354"/>
      <c r="AR507" s="354"/>
      <c r="AS507" s="354"/>
      <c r="AT507" s="354"/>
      <c r="AU507" s="354"/>
      <c r="AV507" s="354"/>
      <c r="AW507" s="354"/>
    </row>
    <row r="508" spans="1:49">
      <c r="A508" s="354"/>
      <c r="B508" s="354"/>
      <c r="C508" s="354"/>
      <c r="D508" s="354"/>
      <c r="E508" s="354"/>
      <c r="F508" s="354"/>
      <c r="G508" s="354"/>
      <c r="H508" s="354"/>
      <c r="I508" s="354"/>
      <c r="J508" s="354"/>
      <c r="K508" s="354"/>
      <c r="L508" s="354"/>
      <c r="M508" s="354"/>
      <c r="N508" s="354"/>
      <c r="O508" s="354"/>
      <c r="P508" s="354"/>
      <c r="Q508" s="354"/>
      <c r="R508" s="354"/>
      <c r="S508" s="354"/>
      <c r="T508" s="354"/>
      <c r="U508" s="354"/>
      <c r="V508" s="354"/>
      <c r="W508" s="354"/>
      <c r="X508" s="354"/>
      <c r="Y508" s="354"/>
      <c r="Z508" s="354"/>
      <c r="AA508" s="354"/>
      <c r="AB508" s="354"/>
      <c r="AC508" s="354"/>
      <c r="AD508" s="354"/>
      <c r="AE508" s="354"/>
      <c r="AF508" s="354"/>
      <c r="AG508" s="354"/>
      <c r="AH508" s="354"/>
      <c r="AI508" s="354"/>
      <c r="AJ508" s="354"/>
      <c r="AK508" s="354"/>
      <c r="AL508" s="354"/>
      <c r="AM508" s="354"/>
      <c r="AN508" s="354"/>
      <c r="AO508" s="354"/>
      <c r="AP508" s="354"/>
      <c r="AQ508" s="354"/>
      <c r="AR508" s="354"/>
      <c r="AS508" s="354"/>
      <c r="AT508" s="354"/>
      <c r="AU508" s="354"/>
      <c r="AV508" s="354"/>
      <c r="AW508" s="354"/>
    </row>
    <row r="509" spans="1:49">
      <c r="A509" s="354"/>
      <c r="B509" s="354"/>
      <c r="C509" s="354"/>
      <c r="D509" s="354"/>
      <c r="E509" s="354"/>
      <c r="F509" s="354"/>
      <c r="G509" s="354"/>
      <c r="H509" s="354"/>
      <c r="I509" s="354"/>
      <c r="J509" s="354"/>
      <c r="K509" s="354"/>
      <c r="L509" s="354"/>
      <c r="M509" s="354"/>
      <c r="N509" s="354"/>
      <c r="O509" s="354"/>
      <c r="P509" s="354"/>
      <c r="Q509" s="354"/>
      <c r="R509" s="354"/>
      <c r="S509" s="354"/>
      <c r="T509" s="354"/>
      <c r="U509" s="354"/>
      <c r="V509" s="354"/>
      <c r="W509" s="354"/>
      <c r="X509" s="354"/>
      <c r="Y509" s="354"/>
      <c r="Z509" s="354"/>
      <c r="AA509" s="354"/>
      <c r="AB509" s="354"/>
      <c r="AC509" s="354"/>
      <c r="AD509" s="354"/>
      <c r="AE509" s="354"/>
      <c r="AF509" s="354"/>
      <c r="AG509" s="354"/>
      <c r="AH509" s="354"/>
      <c r="AI509" s="354"/>
      <c r="AJ509" s="354"/>
      <c r="AK509" s="354"/>
      <c r="AL509" s="354"/>
      <c r="AM509" s="354"/>
      <c r="AN509" s="354"/>
      <c r="AO509" s="354"/>
      <c r="AP509" s="354"/>
      <c r="AQ509" s="354"/>
      <c r="AR509" s="354"/>
      <c r="AS509" s="354"/>
      <c r="AT509" s="354"/>
      <c r="AU509" s="354"/>
      <c r="AV509" s="354"/>
      <c r="AW509" s="354"/>
    </row>
    <row r="510" spans="1:49">
      <c r="A510" s="354"/>
      <c r="B510" s="354"/>
      <c r="C510" s="354"/>
      <c r="D510" s="354"/>
      <c r="E510" s="354"/>
      <c r="F510" s="354"/>
      <c r="G510" s="354"/>
      <c r="H510" s="354"/>
      <c r="I510" s="354"/>
      <c r="J510" s="354"/>
      <c r="K510" s="354"/>
      <c r="L510" s="354"/>
      <c r="M510" s="354"/>
      <c r="N510" s="354"/>
      <c r="O510" s="354"/>
      <c r="P510" s="354"/>
      <c r="Q510" s="354"/>
      <c r="R510" s="354"/>
      <c r="S510" s="354"/>
      <c r="T510" s="354"/>
      <c r="U510" s="354"/>
      <c r="V510" s="354"/>
      <c r="W510" s="354"/>
      <c r="X510" s="354"/>
      <c r="Y510" s="354"/>
      <c r="Z510" s="354"/>
      <c r="AA510" s="354"/>
      <c r="AB510" s="354"/>
      <c r="AC510" s="354"/>
      <c r="AD510" s="354"/>
      <c r="AE510" s="354"/>
      <c r="AF510" s="354"/>
      <c r="AG510" s="354"/>
      <c r="AH510" s="354"/>
      <c r="AI510" s="354"/>
      <c r="AJ510" s="354"/>
      <c r="AK510" s="354"/>
      <c r="AL510" s="354"/>
      <c r="AM510" s="354"/>
      <c r="AN510" s="354"/>
      <c r="AO510" s="354"/>
      <c r="AP510" s="354"/>
      <c r="AQ510" s="354"/>
      <c r="AR510" s="354"/>
      <c r="AS510" s="354"/>
      <c r="AT510" s="354"/>
      <c r="AU510" s="354"/>
      <c r="AV510" s="354"/>
      <c r="AW510" s="354"/>
    </row>
    <row r="511" spans="1:49">
      <c r="A511" s="354"/>
      <c r="B511" s="354"/>
      <c r="C511" s="354"/>
      <c r="D511" s="354"/>
      <c r="E511" s="354"/>
      <c r="F511" s="354"/>
      <c r="G511" s="354"/>
      <c r="H511" s="354"/>
      <c r="I511" s="354"/>
      <c r="J511" s="354"/>
      <c r="K511" s="354"/>
      <c r="L511" s="354"/>
      <c r="M511" s="354"/>
      <c r="N511" s="354"/>
      <c r="O511" s="354"/>
      <c r="P511" s="354"/>
      <c r="Q511" s="354"/>
      <c r="R511" s="354"/>
      <c r="S511" s="354"/>
      <c r="T511" s="354"/>
      <c r="U511" s="354"/>
      <c r="V511" s="354"/>
      <c r="W511" s="354"/>
      <c r="X511" s="354"/>
      <c r="Y511" s="354"/>
      <c r="Z511" s="354"/>
      <c r="AA511" s="354"/>
      <c r="AB511" s="354"/>
      <c r="AC511" s="354"/>
      <c r="AD511" s="354"/>
      <c r="AE511" s="354"/>
      <c r="AF511" s="354"/>
      <c r="AG511" s="354"/>
      <c r="AH511" s="354"/>
      <c r="AI511" s="354"/>
      <c r="AJ511" s="354"/>
      <c r="AK511" s="354"/>
      <c r="AL511" s="354"/>
      <c r="AM511" s="354"/>
      <c r="AN511" s="354"/>
      <c r="AO511" s="354"/>
      <c r="AP511" s="354"/>
      <c r="AQ511" s="354"/>
      <c r="AR511" s="354"/>
      <c r="AS511" s="354"/>
      <c r="AT511" s="354"/>
      <c r="AU511" s="354"/>
      <c r="AV511" s="354"/>
      <c r="AW511" s="354"/>
    </row>
    <row r="512" spans="1:49">
      <c r="A512" s="354"/>
      <c r="B512" s="354"/>
      <c r="C512" s="354"/>
      <c r="D512" s="354"/>
      <c r="E512" s="354"/>
      <c r="F512" s="354"/>
      <c r="G512" s="354"/>
      <c r="H512" s="354"/>
      <c r="I512" s="354"/>
      <c r="J512" s="354"/>
      <c r="K512" s="354"/>
      <c r="L512" s="354"/>
      <c r="M512" s="354"/>
      <c r="N512" s="354"/>
      <c r="O512" s="354"/>
      <c r="P512" s="354"/>
      <c r="Q512" s="354"/>
      <c r="R512" s="354"/>
      <c r="S512" s="354"/>
      <c r="T512" s="354"/>
      <c r="U512" s="354"/>
      <c r="V512" s="354"/>
      <c r="W512" s="354"/>
      <c r="X512" s="354"/>
      <c r="Y512" s="354"/>
      <c r="Z512" s="354"/>
      <c r="AA512" s="354"/>
      <c r="AB512" s="354"/>
      <c r="AC512" s="354"/>
      <c r="AD512" s="354"/>
      <c r="AE512" s="354"/>
      <c r="AF512" s="354"/>
      <c r="AG512" s="354"/>
      <c r="AH512" s="354"/>
      <c r="AI512" s="354"/>
      <c r="AJ512" s="354"/>
      <c r="AK512" s="354"/>
      <c r="AL512" s="354"/>
      <c r="AM512" s="354"/>
      <c r="AN512" s="354"/>
      <c r="AO512" s="354"/>
      <c r="AP512" s="354"/>
      <c r="AQ512" s="354"/>
      <c r="AR512" s="354"/>
      <c r="AS512" s="354"/>
      <c r="AT512" s="354"/>
      <c r="AU512" s="354"/>
      <c r="AV512" s="354"/>
      <c r="AW512" s="354"/>
    </row>
    <row r="513" spans="1:49">
      <c r="A513" s="354"/>
      <c r="B513" s="354"/>
      <c r="C513" s="354"/>
      <c r="D513" s="354"/>
      <c r="E513" s="354"/>
      <c r="F513" s="354"/>
      <c r="G513" s="354"/>
      <c r="H513" s="354"/>
      <c r="I513" s="354"/>
      <c r="J513" s="354"/>
      <c r="K513" s="354"/>
      <c r="L513" s="354"/>
      <c r="M513" s="354"/>
      <c r="N513" s="354"/>
      <c r="O513" s="354"/>
      <c r="P513" s="354"/>
      <c r="Q513" s="354"/>
      <c r="R513" s="354"/>
      <c r="S513" s="354"/>
      <c r="T513" s="354"/>
      <c r="U513" s="354"/>
      <c r="V513" s="354"/>
      <c r="W513" s="354"/>
      <c r="X513" s="354"/>
      <c r="Y513" s="354"/>
      <c r="Z513" s="354"/>
      <c r="AA513" s="354"/>
      <c r="AB513" s="354"/>
      <c r="AC513" s="354"/>
      <c r="AD513" s="354"/>
      <c r="AE513" s="354"/>
      <c r="AF513" s="354"/>
      <c r="AG513" s="354"/>
      <c r="AH513" s="354"/>
      <c r="AI513" s="354"/>
      <c r="AJ513" s="354"/>
      <c r="AK513" s="354"/>
      <c r="AL513" s="354"/>
      <c r="AM513" s="354"/>
      <c r="AN513" s="354"/>
      <c r="AO513" s="354"/>
      <c r="AP513" s="354"/>
      <c r="AQ513" s="354"/>
      <c r="AR513" s="354"/>
      <c r="AS513" s="354"/>
      <c r="AT513" s="354"/>
      <c r="AU513" s="354"/>
      <c r="AV513" s="354"/>
      <c r="AW513" s="354"/>
    </row>
    <row r="514" spans="1:49">
      <c r="A514" s="354"/>
      <c r="B514" s="354"/>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354"/>
      <c r="AM514" s="354"/>
      <c r="AN514" s="354"/>
      <c r="AO514" s="354"/>
      <c r="AP514" s="354"/>
      <c r="AQ514" s="354"/>
      <c r="AR514" s="354"/>
      <c r="AS514" s="354"/>
      <c r="AT514" s="354"/>
      <c r="AU514" s="354"/>
      <c r="AV514" s="354"/>
      <c r="AW514" s="354"/>
    </row>
    <row r="515" spans="1:49">
      <c r="A515" s="354"/>
      <c r="B515" s="354"/>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c r="AA515" s="354"/>
      <c r="AB515" s="354"/>
      <c r="AC515" s="354"/>
      <c r="AD515" s="354"/>
      <c r="AE515" s="354"/>
      <c r="AF515" s="354"/>
      <c r="AG515" s="354"/>
      <c r="AH515" s="354"/>
      <c r="AI515" s="354"/>
      <c r="AJ515" s="354"/>
      <c r="AK515" s="354"/>
      <c r="AL515" s="354"/>
      <c r="AM515" s="354"/>
      <c r="AN515" s="354"/>
      <c r="AO515" s="354"/>
      <c r="AP515" s="354"/>
      <c r="AQ515" s="354"/>
      <c r="AR515" s="354"/>
      <c r="AS515" s="354"/>
      <c r="AT515" s="354"/>
      <c r="AU515" s="354"/>
      <c r="AV515" s="354"/>
      <c r="AW515" s="354"/>
    </row>
    <row r="516" spans="1:49">
      <c r="A516" s="354"/>
      <c r="B516" s="354"/>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c r="AA516" s="354"/>
      <c r="AB516" s="354"/>
      <c r="AC516" s="354"/>
      <c r="AD516" s="354"/>
      <c r="AE516" s="354"/>
      <c r="AF516" s="354"/>
      <c r="AG516" s="354"/>
      <c r="AH516" s="354"/>
      <c r="AI516" s="354"/>
      <c r="AJ516" s="354"/>
      <c r="AK516" s="354"/>
      <c r="AL516" s="354"/>
      <c r="AM516" s="354"/>
      <c r="AN516" s="354"/>
      <c r="AO516" s="354"/>
      <c r="AP516" s="354"/>
      <c r="AQ516" s="354"/>
      <c r="AR516" s="354"/>
      <c r="AS516" s="354"/>
      <c r="AT516" s="354"/>
      <c r="AU516" s="354"/>
      <c r="AV516" s="354"/>
      <c r="AW516" s="354"/>
    </row>
    <row r="517" spans="1:49">
      <c r="A517" s="354"/>
      <c r="B517" s="354"/>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c r="AA517" s="354"/>
      <c r="AB517" s="354"/>
      <c r="AC517" s="354"/>
      <c r="AD517" s="354"/>
      <c r="AE517" s="354"/>
      <c r="AF517" s="354"/>
      <c r="AG517" s="354"/>
      <c r="AH517" s="354"/>
      <c r="AI517" s="354"/>
      <c r="AJ517" s="354"/>
      <c r="AK517" s="354"/>
      <c r="AL517" s="354"/>
      <c r="AM517" s="354"/>
      <c r="AN517" s="354"/>
      <c r="AO517" s="354"/>
      <c r="AP517" s="354"/>
      <c r="AQ517" s="354"/>
      <c r="AR517" s="354"/>
      <c r="AS517" s="354"/>
      <c r="AT517" s="354"/>
      <c r="AU517" s="354"/>
      <c r="AV517" s="354"/>
      <c r="AW517" s="354"/>
    </row>
    <row r="518" spans="1:49">
      <c r="A518" s="354"/>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row>
    <row r="519" spans="1:49">
      <c r="A519" s="354"/>
      <c r="B519" s="354"/>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c r="AA519" s="354"/>
      <c r="AB519" s="354"/>
      <c r="AC519" s="354"/>
      <c r="AD519" s="354"/>
      <c r="AE519" s="354"/>
      <c r="AF519" s="354"/>
      <c r="AG519" s="354"/>
      <c r="AH519" s="354"/>
      <c r="AI519" s="354"/>
      <c r="AJ519" s="354"/>
      <c r="AK519" s="354"/>
      <c r="AL519" s="354"/>
      <c r="AM519" s="354"/>
      <c r="AN519" s="354"/>
      <c r="AO519" s="354"/>
      <c r="AP519" s="354"/>
      <c r="AQ519" s="354"/>
      <c r="AR519" s="354"/>
      <c r="AS519" s="354"/>
      <c r="AT519" s="354"/>
      <c r="AU519" s="354"/>
      <c r="AV519" s="354"/>
      <c r="AW519" s="354"/>
    </row>
    <row r="520" spans="1:49">
      <c r="A520" s="354"/>
      <c r="B520" s="354"/>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c r="AA520" s="354"/>
      <c r="AB520" s="354"/>
      <c r="AC520" s="354"/>
      <c r="AD520" s="354"/>
      <c r="AE520" s="354"/>
      <c r="AF520" s="354"/>
      <c r="AG520" s="354"/>
      <c r="AH520" s="354"/>
      <c r="AI520" s="354"/>
      <c r="AJ520" s="354"/>
      <c r="AK520" s="354"/>
      <c r="AL520" s="354"/>
      <c r="AM520" s="354"/>
      <c r="AN520" s="354"/>
      <c r="AO520" s="354"/>
      <c r="AP520" s="354"/>
      <c r="AQ520" s="354"/>
      <c r="AR520" s="354"/>
      <c r="AS520" s="354"/>
      <c r="AT520" s="354"/>
      <c r="AU520" s="354"/>
      <c r="AV520" s="354"/>
      <c r="AW520" s="354"/>
    </row>
    <row r="521" spans="1:49">
      <c r="A521" s="354"/>
      <c r="B521" s="354"/>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c r="AA521" s="354"/>
      <c r="AB521" s="354"/>
      <c r="AC521" s="354"/>
      <c r="AD521" s="354"/>
      <c r="AE521" s="354"/>
      <c r="AF521" s="354"/>
      <c r="AG521" s="354"/>
      <c r="AH521" s="354"/>
      <c r="AI521" s="354"/>
      <c r="AJ521" s="354"/>
      <c r="AK521" s="354"/>
      <c r="AL521" s="354"/>
      <c r="AM521" s="354"/>
      <c r="AN521" s="354"/>
      <c r="AO521" s="354"/>
      <c r="AP521" s="354"/>
      <c r="AQ521" s="354"/>
      <c r="AR521" s="354"/>
      <c r="AS521" s="354"/>
      <c r="AT521" s="354"/>
      <c r="AU521" s="354"/>
      <c r="AV521" s="354"/>
      <c r="AW521" s="354"/>
    </row>
    <row r="522" spans="1:49">
      <c r="A522" s="354"/>
      <c r="B522" s="35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row>
    <row r="523" spans="1:49">
      <c r="A523" s="354"/>
      <c r="B523" s="354"/>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c r="AA523" s="354"/>
      <c r="AB523" s="354"/>
      <c r="AC523" s="354"/>
      <c r="AD523" s="354"/>
      <c r="AE523" s="354"/>
      <c r="AF523" s="354"/>
      <c r="AG523" s="354"/>
      <c r="AH523" s="354"/>
      <c r="AI523" s="354"/>
      <c r="AJ523" s="354"/>
      <c r="AK523" s="354"/>
      <c r="AL523" s="354"/>
      <c r="AM523" s="354"/>
      <c r="AN523" s="354"/>
      <c r="AO523" s="354"/>
      <c r="AP523" s="354"/>
      <c r="AQ523" s="354"/>
      <c r="AR523" s="354"/>
      <c r="AS523" s="354"/>
      <c r="AT523" s="354"/>
      <c r="AU523" s="354"/>
      <c r="AV523" s="354"/>
      <c r="AW523" s="354"/>
    </row>
    <row r="524" spans="1:49">
      <c r="A524" s="354"/>
      <c r="B524" s="35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row>
    <row r="525" spans="1:49">
      <c r="A525" s="354"/>
      <c r="B525" s="354"/>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c r="AA525" s="354"/>
      <c r="AB525" s="354"/>
      <c r="AC525" s="354"/>
      <c r="AD525" s="354"/>
      <c r="AE525" s="354"/>
      <c r="AF525" s="354"/>
      <c r="AG525" s="354"/>
      <c r="AH525" s="354"/>
      <c r="AI525" s="354"/>
      <c r="AJ525" s="354"/>
      <c r="AK525" s="354"/>
      <c r="AL525" s="354"/>
      <c r="AM525" s="354"/>
      <c r="AN525" s="354"/>
      <c r="AO525" s="354"/>
      <c r="AP525" s="354"/>
      <c r="AQ525" s="354"/>
      <c r="AR525" s="354"/>
      <c r="AS525" s="354"/>
      <c r="AT525" s="354"/>
      <c r="AU525" s="354"/>
      <c r="AV525" s="354"/>
      <c r="AW525" s="354"/>
    </row>
    <row r="526" spans="1:49">
      <c r="A526" s="354"/>
      <c r="B526" s="354"/>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c r="AA526" s="354"/>
      <c r="AB526" s="354"/>
      <c r="AC526" s="354"/>
      <c r="AD526" s="354"/>
      <c r="AE526" s="354"/>
      <c r="AF526" s="354"/>
      <c r="AG526" s="354"/>
      <c r="AH526" s="354"/>
      <c r="AI526" s="354"/>
      <c r="AJ526" s="354"/>
      <c r="AK526" s="354"/>
      <c r="AL526" s="354"/>
      <c r="AM526" s="354"/>
      <c r="AN526" s="354"/>
      <c r="AO526" s="354"/>
      <c r="AP526" s="354"/>
      <c r="AQ526" s="354"/>
      <c r="AR526" s="354"/>
      <c r="AS526" s="354"/>
      <c r="AT526" s="354"/>
      <c r="AU526" s="354"/>
      <c r="AV526" s="354"/>
      <c r="AW526" s="354"/>
    </row>
    <row r="527" spans="1:49">
      <c r="A527" s="354"/>
      <c r="B527" s="354"/>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c r="AA527" s="354"/>
      <c r="AB527" s="354"/>
      <c r="AC527" s="354"/>
      <c r="AD527" s="354"/>
      <c r="AE527" s="354"/>
      <c r="AF527" s="354"/>
      <c r="AG527" s="354"/>
      <c r="AH527" s="354"/>
      <c r="AI527" s="354"/>
      <c r="AJ527" s="354"/>
      <c r="AK527" s="354"/>
      <c r="AL527" s="354"/>
      <c r="AM527" s="354"/>
      <c r="AN527" s="354"/>
      <c r="AO527" s="354"/>
      <c r="AP527" s="354"/>
      <c r="AQ527" s="354"/>
      <c r="AR527" s="354"/>
      <c r="AS527" s="354"/>
      <c r="AT527" s="354"/>
      <c r="AU527" s="354"/>
      <c r="AV527" s="354"/>
      <c r="AW527" s="354"/>
    </row>
    <row r="528" spans="1:49">
      <c r="A528" s="354"/>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c r="AA528" s="354"/>
      <c r="AB528" s="354"/>
      <c r="AC528" s="354"/>
      <c r="AD528" s="354"/>
      <c r="AE528" s="354"/>
      <c r="AF528" s="354"/>
      <c r="AG528" s="354"/>
      <c r="AH528" s="354"/>
      <c r="AI528" s="354"/>
      <c r="AJ528" s="354"/>
      <c r="AK528" s="354"/>
      <c r="AL528" s="354"/>
      <c r="AM528" s="354"/>
      <c r="AN528" s="354"/>
      <c r="AO528" s="354"/>
      <c r="AP528" s="354"/>
      <c r="AQ528" s="354"/>
      <c r="AR528" s="354"/>
      <c r="AS528" s="354"/>
      <c r="AT528" s="354"/>
      <c r="AU528" s="354"/>
      <c r="AV528" s="354"/>
      <c r="AW528" s="354"/>
    </row>
    <row r="529" spans="1:49">
      <c r="A529" s="354"/>
      <c r="B529" s="354"/>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c r="AA529" s="354"/>
      <c r="AB529" s="354"/>
      <c r="AC529" s="354"/>
      <c r="AD529" s="354"/>
      <c r="AE529" s="354"/>
      <c r="AF529" s="354"/>
      <c r="AG529" s="354"/>
      <c r="AH529" s="354"/>
      <c r="AI529" s="354"/>
      <c r="AJ529" s="354"/>
      <c r="AK529" s="354"/>
      <c r="AL529" s="354"/>
      <c r="AM529" s="354"/>
      <c r="AN529" s="354"/>
      <c r="AO529" s="354"/>
      <c r="AP529" s="354"/>
      <c r="AQ529" s="354"/>
      <c r="AR529" s="354"/>
      <c r="AS529" s="354"/>
      <c r="AT529" s="354"/>
      <c r="AU529" s="354"/>
      <c r="AV529" s="354"/>
      <c r="AW529" s="354"/>
    </row>
    <row r="530" spans="1:49">
      <c r="A530" s="354"/>
      <c r="B530" s="35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row>
    <row r="531" spans="1:49">
      <c r="A531" s="354"/>
      <c r="B531" s="354"/>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c r="AA531" s="354"/>
      <c r="AB531" s="354"/>
      <c r="AC531" s="354"/>
      <c r="AD531" s="354"/>
      <c r="AE531" s="354"/>
      <c r="AF531" s="354"/>
      <c r="AG531" s="354"/>
      <c r="AH531" s="354"/>
      <c r="AI531" s="354"/>
      <c r="AJ531" s="354"/>
      <c r="AK531" s="354"/>
      <c r="AL531" s="354"/>
      <c r="AM531" s="354"/>
      <c r="AN531" s="354"/>
      <c r="AO531" s="354"/>
      <c r="AP531" s="354"/>
      <c r="AQ531" s="354"/>
      <c r="AR531" s="354"/>
      <c r="AS531" s="354"/>
      <c r="AT531" s="354"/>
      <c r="AU531" s="354"/>
      <c r="AV531" s="354"/>
      <c r="AW531" s="354"/>
    </row>
    <row r="532" spans="1:49">
      <c r="A532" s="354"/>
      <c r="B532" s="35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row>
    <row r="533" spans="1:49">
      <c r="A533" s="354"/>
      <c r="B533" s="35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row>
    <row r="534" spans="1:49">
      <c r="A534" s="354"/>
      <c r="B534" s="354"/>
      <c r="C534" s="354"/>
      <c r="D534" s="354"/>
      <c r="E534" s="354"/>
      <c r="F534" s="354"/>
      <c r="G534" s="354"/>
      <c r="H534" s="354"/>
      <c r="I534" s="354"/>
      <c r="J534" s="354"/>
      <c r="K534" s="354"/>
      <c r="L534" s="354"/>
      <c r="M534" s="354"/>
      <c r="N534" s="354"/>
      <c r="O534" s="354"/>
      <c r="P534" s="354"/>
      <c r="Q534" s="354"/>
      <c r="R534" s="354"/>
      <c r="S534" s="354"/>
      <c r="T534" s="354"/>
      <c r="U534" s="354"/>
      <c r="V534" s="354"/>
      <c r="W534" s="354"/>
      <c r="X534" s="354"/>
      <c r="Y534" s="354"/>
      <c r="Z534" s="354"/>
      <c r="AA534" s="354"/>
      <c r="AB534" s="354"/>
      <c r="AC534" s="354"/>
      <c r="AD534" s="354"/>
      <c r="AE534" s="354"/>
      <c r="AF534" s="354"/>
      <c r="AG534" s="354"/>
      <c r="AH534" s="354"/>
      <c r="AI534" s="354"/>
      <c r="AJ534" s="354"/>
      <c r="AK534" s="354"/>
      <c r="AL534" s="354"/>
      <c r="AM534" s="354"/>
      <c r="AN534" s="354"/>
      <c r="AO534" s="354"/>
      <c r="AP534" s="354"/>
      <c r="AQ534" s="354"/>
      <c r="AR534" s="354"/>
      <c r="AS534" s="354"/>
      <c r="AT534" s="354"/>
      <c r="AU534" s="354"/>
      <c r="AV534" s="354"/>
      <c r="AW534" s="354"/>
    </row>
    <row r="535" spans="1:49">
      <c r="A535" s="354"/>
      <c r="B535" s="354"/>
      <c r="C535" s="354"/>
      <c r="D535" s="354"/>
      <c r="E535" s="354"/>
      <c r="F535" s="354"/>
      <c r="G535" s="354"/>
      <c r="H535" s="354"/>
      <c r="I535" s="354"/>
      <c r="J535" s="354"/>
      <c r="K535" s="354"/>
      <c r="L535" s="354"/>
      <c r="M535" s="354"/>
      <c r="N535" s="354"/>
      <c r="O535" s="354"/>
      <c r="P535" s="354"/>
      <c r="Q535" s="354"/>
      <c r="R535" s="354"/>
      <c r="S535" s="354"/>
      <c r="T535" s="354"/>
      <c r="U535" s="354"/>
      <c r="V535" s="354"/>
      <c r="W535" s="354"/>
      <c r="X535" s="354"/>
      <c r="Y535" s="354"/>
      <c r="Z535" s="354"/>
      <c r="AA535" s="354"/>
      <c r="AB535" s="354"/>
      <c r="AC535" s="354"/>
      <c r="AD535" s="354"/>
      <c r="AE535" s="354"/>
      <c r="AF535" s="354"/>
      <c r="AG535" s="354"/>
      <c r="AH535" s="354"/>
      <c r="AI535" s="354"/>
      <c r="AJ535" s="354"/>
      <c r="AK535" s="354"/>
      <c r="AL535" s="354"/>
      <c r="AM535" s="354"/>
      <c r="AN535" s="354"/>
      <c r="AO535" s="354"/>
      <c r="AP535" s="354"/>
      <c r="AQ535" s="354"/>
      <c r="AR535" s="354"/>
      <c r="AS535" s="354"/>
      <c r="AT535" s="354"/>
      <c r="AU535" s="354"/>
      <c r="AV535" s="354"/>
      <c r="AW535" s="354"/>
    </row>
    <row r="536" spans="1:49">
      <c r="A536" s="354"/>
      <c r="B536" s="354"/>
      <c r="C536" s="354"/>
      <c r="D536" s="354"/>
      <c r="E536" s="354"/>
      <c r="F536" s="354"/>
      <c r="G536" s="354"/>
      <c r="H536" s="354"/>
      <c r="I536" s="354"/>
      <c r="J536" s="354"/>
      <c r="K536" s="354"/>
      <c r="L536" s="354"/>
      <c r="M536" s="354"/>
      <c r="N536" s="354"/>
      <c r="O536" s="354"/>
      <c r="P536" s="354"/>
      <c r="Q536" s="354"/>
      <c r="R536" s="354"/>
      <c r="S536" s="354"/>
      <c r="T536" s="354"/>
      <c r="U536" s="354"/>
      <c r="V536" s="354"/>
      <c r="W536" s="354"/>
      <c r="X536" s="354"/>
      <c r="Y536" s="354"/>
      <c r="Z536" s="354"/>
      <c r="AA536" s="354"/>
      <c r="AB536" s="354"/>
      <c r="AC536" s="354"/>
      <c r="AD536" s="354"/>
      <c r="AE536" s="354"/>
      <c r="AF536" s="354"/>
      <c r="AG536" s="354"/>
      <c r="AH536" s="354"/>
      <c r="AI536" s="354"/>
      <c r="AJ536" s="354"/>
      <c r="AK536" s="354"/>
      <c r="AL536" s="354"/>
      <c r="AM536" s="354"/>
      <c r="AN536" s="354"/>
      <c r="AO536" s="354"/>
      <c r="AP536" s="354"/>
      <c r="AQ536" s="354"/>
      <c r="AR536" s="354"/>
      <c r="AS536" s="354"/>
      <c r="AT536" s="354"/>
      <c r="AU536" s="354"/>
      <c r="AV536" s="354"/>
      <c r="AW536" s="354"/>
    </row>
    <row r="537" spans="1:49">
      <c r="A537" s="354"/>
      <c r="B537" s="354"/>
      <c r="C537" s="354"/>
      <c r="D537" s="354"/>
      <c r="E537" s="354"/>
      <c r="F537" s="354"/>
      <c r="G537" s="354"/>
      <c r="H537" s="354"/>
      <c r="I537" s="354"/>
      <c r="J537" s="354"/>
      <c r="K537" s="354"/>
      <c r="L537" s="354"/>
      <c r="M537" s="354"/>
      <c r="N537" s="354"/>
      <c r="O537" s="354"/>
      <c r="P537" s="354"/>
      <c r="Q537" s="354"/>
      <c r="R537" s="354"/>
      <c r="S537" s="354"/>
      <c r="T537" s="354"/>
      <c r="U537" s="354"/>
      <c r="V537" s="354"/>
      <c r="W537" s="354"/>
      <c r="X537" s="354"/>
      <c r="Y537" s="354"/>
      <c r="Z537" s="354"/>
      <c r="AA537" s="354"/>
      <c r="AB537" s="354"/>
      <c r="AC537" s="354"/>
      <c r="AD537" s="354"/>
      <c r="AE537" s="354"/>
      <c r="AF537" s="354"/>
      <c r="AG537" s="354"/>
      <c r="AH537" s="354"/>
      <c r="AI537" s="354"/>
      <c r="AJ537" s="354"/>
      <c r="AK537" s="354"/>
      <c r="AL537" s="354"/>
      <c r="AM537" s="354"/>
      <c r="AN537" s="354"/>
      <c r="AO537" s="354"/>
      <c r="AP537" s="354"/>
      <c r="AQ537" s="354"/>
      <c r="AR537" s="354"/>
      <c r="AS537" s="354"/>
      <c r="AT537" s="354"/>
      <c r="AU537" s="354"/>
      <c r="AV537" s="354"/>
      <c r="AW537" s="354"/>
    </row>
    <row r="538" spans="1:49">
      <c r="A538" s="354"/>
      <c r="B538" s="354"/>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c r="AA538" s="354"/>
      <c r="AB538" s="354"/>
      <c r="AC538" s="354"/>
      <c r="AD538" s="354"/>
      <c r="AE538" s="354"/>
      <c r="AF538" s="354"/>
      <c r="AG538" s="354"/>
      <c r="AH538" s="354"/>
      <c r="AI538" s="354"/>
      <c r="AJ538" s="354"/>
      <c r="AK538" s="354"/>
      <c r="AL538" s="354"/>
      <c r="AM538" s="354"/>
      <c r="AN538" s="354"/>
      <c r="AO538" s="354"/>
      <c r="AP538" s="354"/>
      <c r="AQ538" s="354"/>
      <c r="AR538" s="354"/>
      <c r="AS538" s="354"/>
      <c r="AT538" s="354"/>
      <c r="AU538" s="354"/>
      <c r="AV538" s="354"/>
      <c r="AW538" s="354"/>
    </row>
    <row r="539" spans="1:49">
      <c r="A539" s="354"/>
      <c r="B539" s="354"/>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c r="AA539" s="354"/>
      <c r="AB539" s="354"/>
      <c r="AC539" s="354"/>
      <c r="AD539" s="354"/>
      <c r="AE539" s="354"/>
      <c r="AF539" s="354"/>
      <c r="AG539" s="354"/>
      <c r="AH539" s="354"/>
      <c r="AI539" s="354"/>
      <c r="AJ539" s="354"/>
      <c r="AK539" s="354"/>
      <c r="AL539" s="354"/>
      <c r="AM539" s="354"/>
      <c r="AN539" s="354"/>
      <c r="AO539" s="354"/>
      <c r="AP539" s="354"/>
      <c r="AQ539" s="354"/>
      <c r="AR539" s="354"/>
      <c r="AS539" s="354"/>
      <c r="AT539" s="354"/>
      <c r="AU539" s="354"/>
      <c r="AV539" s="354"/>
      <c r="AW539" s="354"/>
    </row>
    <row r="540" spans="1:49">
      <c r="A540" s="354"/>
      <c r="B540" s="354"/>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c r="AA540" s="354"/>
      <c r="AB540" s="354"/>
      <c r="AC540" s="354"/>
      <c r="AD540" s="354"/>
      <c r="AE540" s="354"/>
      <c r="AF540" s="354"/>
      <c r="AG540" s="354"/>
      <c r="AH540" s="354"/>
      <c r="AI540" s="354"/>
      <c r="AJ540" s="354"/>
      <c r="AK540" s="354"/>
      <c r="AL540" s="354"/>
      <c r="AM540" s="354"/>
      <c r="AN540" s="354"/>
      <c r="AO540" s="354"/>
      <c r="AP540" s="354"/>
      <c r="AQ540" s="354"/>
      <c r="AR540" s="354"/>
      <c r="AS540" s="354"/>
      <c r="AT540" s="354"/>
      <c r="AU540" s="354"/>
      <c r="AV540" s="354"/>
      <c r="AW540" s="354"/>
    </row>
    <row r="541" spans="1:49">
      <c r="A541" s="354"/>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c r="AA541" s="354"/>
      <c r="AB541" s="354"/>
      <c r="AC541" s="354"/>
      <c r="AD541" s="354"/>
      <c r="AE541" s="354"/>
      <c r="AF541" s="354"/>
      <c r="AG541" s="354"/>
      <c r="AH541" s="354"/>
      <c r="AI541" s="354"/>
      <c r="AJ541" s="354"/>
      <c r="AK541" s="354"/>
      <c r="AL541" s="354"/>
      <c r="AM541" s="354"/>
      <c r="AN541" s="354"/>
      <c r="AO541" s="354"/>
      <c r="AP541" s="354"/>
      <c r="AQ541" s="354"/>
      <c r="AR541" s="354"/>
      <c r="AS541" s="354"/>
      <c r="AT541" s="354"/>
      <c r="AU541" s="354"/>
      <c r="AV541" s="354"/>
      <c r="AW541" s="354"/>
    </row>
    <row r="542" spans="1:49">
      <c r="A542" s="354"/>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54"/>
      <c r="AE542" s="354"/>
      <c r="AF542" s="354"/>
      <c r="AG542" s="354"/>
      <c r="AH542" s="354"/>
      <c r="AI542" s="354"/>
      <c r="AJ542" s="354"/>
      <c r="AK542" s="354"/>
      <c r="AL542" s="354"/>
      <c r="AM542" s="354"/>
      <c r="AN542" s="354"/>
      <c r="AO542" s="354"/>
      <c r="AP542" s="354"/>
      <c r="AQ542" s="354"/>
      <c r="AR542" s="354"/>
      <c r="AS542" s="354"/>
      <c r="AT542" s="354"/>
      <c r="AU542" s="354"/>
      <c r="AV542" s="354"/>
      <c r="AW542" s="354"/>
    </row>
    <row r="543" spans="1:49">
      <c r="A543" s="354"/>
      <c r="B543" s="354"/>
      <c r="C543" s="354"/>
      <c r="D543" s="354"/>
      <c r="E543" s="354"/>
      <c r="F543" s="354"/>
      <c r="G543" s="354"/>
      <c r="H543" s="354"/>
      <c r="I543" s="354"/>
      <c r="J543" s="354"/>
      <c r="K543" s="354"/>
      <c r="L543" s="354"/>
      <c r="M543" s="354"/>
      <c r="N543" s="354"/>
      <c r="O543" s="354"/>
      <c r="P543" s="354"/>
      <c r="Q543" s="354"/>
      <c r="R543" s="354"/>
      <c r="S543" s="354"/>
      <c r="T543" s="354"/>
      <c r="U543" s="354"/>
      <c r="V543" s="354"/>
      <c r="W543" s="354"/>
      <c r="X543" s="354"/>
      <c r="Y543" s="354"/>
      <c r="Z543" s="354"/>
      <c r="AA543" s="354"/>
      <c r="AB543" s="354"/>
      <c r="AC543" s="354"/>
      <c r="AD543" s="354"/>
      <c r="AE543" s="354"/>
      <c r="AF543" s="354"/>
      <c r="AG543" s="354"/>
      <c r="AH543" s="354"/>
      <c r="AI543" s="354"/>
      <c r="AJ543" s="354"/>
      <c r="AK543" s="354"/>
      <c r="AL543" s="354"/>
      <c r="AM543" s="354"/>
      <c r="AN543" s="354"/>
      <c r="AO543" s="354"/>
      <c r="AP543" s="354"/>
      <c r="AQ543" s="354"/>
      <c r="AR543" s="354"/>
      <c r="AS543" s="354"/>
      <c r="AT543" s="354"/>
      <c r="AU543" s="354"/>
      <c r="AV543" s="354"/>
      <c r="AW543" s="354"/>
    </row>
    <row r="544" spans="1:49">
      <c r="A544" s="354"/>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c r="AA544" s="354"/>
      <c r="AB544" s="354"/>
      <c r="AC544" s="354"/>
      <c r="AD544" s="354"/>
      <c r="AE544" s="354"/>
      <c r="AF544" s="354"/>
      <c r="AG544" s="354"/>
      <c r="AH544" s="354"/>
      <c r="AI544" s="354"/>
      <c r="AJ544" s="354"/>
      <c r="AK544" s="354"/>
      <c r="AL544" s="354"/>
      <c r="AM544" s="354"/>
      <c r="AN544" s="354"/>
      <c r="AO544" s="354"/>
      <c r="AP544" s="354"/>
      <c r="AQ544" s="354"/>
      <c r="AR544" s="354"/>
      <c r="AS544" s="354"/>
      <c r="AT544" s="354"/>
      <c r="AU544" s="354"/>
      <c r="AV544" s="354"/>
      <c r="AW544" s="354"/>
    </row>
    <row r="545" spans="1:49">
      <c r="A545" s="354"/>
      <c r="B545" s="354"/>
      <c r="C545" s="354"/>
      <c r="D545" s="354"/>
      <c r="E545" s="354"/>
      <c r="F545" s="354"/>
      <c r="G545" s="354"/>
      <c r="H545" s="354"/>
      <c r="I545" s="354"/>
      <c r="J545" s="354"/>
      <c r="K545" s="354"/>
      <c r="L545" s="354"/>
      <c r="M545" s="354"/>
      <c r="N545" s="354"/>
      <c r="O545" s="354"/>
      <c r="P545" s="354"/>
      <c r="Q545" s="354"/>
      <c r="R545" s="354"/>
      <c r="S545" s="354"/>
      <c r="T545" s="354"/>
      <c r="U545" s="354"/>
      <c r="V545" s="354"/>
      <c r="W545" s="354"/>
      <c r="X545" s="354"/>
      <c r="Y545" s="354"/>
      <c r="Z545" s="354"/>
      <c r="AA545" s="354"/>
      <c r="AB545" s="354"/>
      <c r="AC545" s="354"/>
      <c r="AD545" s="354"/>
      <c r="AE545" s="354"/>
      <c r="AF545" s="354"/>
      <c r="AG545" s="354"/>
      <c r="AH545" s="354"/>
      <c r="AI545" s="354"/>
      <c r="AJ545" s="354"/>
      <c r="AK545" s="354"/>
      <c r="AL545" s="354"/>
      <c r="AM545" s="354"/>
      <c r="AN545" s="354"/>
      <c r="AO545" s="354"/>
      <c r="AP545" s="354"/>
      <c r="AQ545" s="354"/>
      <c r="AR545" s="354"/>
      <c r="AS545" s="354"/>
      <c r="AT545" s="354"/>
      <c r="AU545" s="354"/>
      <c r="AV545" s="354"/>
      <c r="AW545" s="354"/>
    </row>
    <row r="546" spans="1:49">
      <c r="A546" s="354"/>
      <c r="B546" s="354"/>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Y546" s="354"/>
      <c r="Z546" s="354"/>
      <c r="AA546" s="354"/>
      <c r="AB546" s="354"/>
      <c r="AC546" s="354"/>
      <c r="AD546" s="354"/>
      <c r="AE546" s="354"/>
      <c r="AF546" s="354"/>
      <c r="AG546" s="354"/>
      <c r="AH546" s="354"/>
      <c r="AI546" s="354"/>
      <c r="AJ546" s="354"/>
      <c r="AK546" s="354"/>
      <c r="AL546" s="354"/>
      <c r="AM546" s="354"/>
      <c r="AN546" s="354"/>
      <c r="AO546" s="354"/>
      <c r="AP546" s="354"/>
      <c r="AQ546" s="354"/>
      <c r="AR546" s="354"/>
      <c r="AS546" s="354"/>
      <c r="AT546" s="354"/>
      <c r="AU546" s="354"/>
      <c r="AV546" s="354"/>
      <c r="AW546" s="354"/>
    </row>
    <row r="547" spans="1:49">
      <c r="A547" s="354"/>
      <c r="B547" s="354"/>
      <c r="C547" s="354"/>
      <c r="D547" s="354"/>
      <c r="E547" s="354"/>
      <c r="F547" s="354"/>
      <c r="G547" s="354"/>
      <c r="H547" s="354"/>
      <c r="I547" s="354"/>
      <c r="J547" s="354"/>
      <c r="K547" s="354"/>
      <c r="L547" s="354"/>
      <c r="M547" s="354"/>
      <c r="N547" s="354"/>
      <c r="O547" s="354"/>
      <c r="P547" s="354"/>
      <c r="Q547" s="354"/>
      <c r="R547" s="354"/>
      <c r="S547" s="354"/>
      <c r="T547" s="354"/>
      <c r="U547" s="354"/>
      <c r="V547" s="354"/>
      <c r="W547" s="354"/>
      <c r="X547" s="354"/>
      <c r="Y547" s="354"/>
      <c r="Z547" s="354"/>
      <c r="AA547" s="354"/>
      <c r="AB547" s="354"/>
      <c r="AC547" s="354"/>
      <c r="AD547" s="354"/>
      <c r="AE547" s="354"/>
      <c r="AF547" s="354"/>
      <c r="AG547" s="354"/>
      <c r="AH547" s="354"/>
      <c r="AI547" s="354"/>
      <c r="AJ547" s="354"/>
      <c r="AK547" s="354"/>
      <c r="AL547" s="354"/>
      <c r="AM547" s="354"/>
      <c r="AN547" s="354"/>
      <c r="AO547" s="354"/>
      <c r="AP547" s="354"/>
      <c r="AQ547" s="354"/>
      <c r="AR547" s="354"/>
      <c r="AS547" s="354"/>
      <c r="AT547" s="354"/>
      <c r="AU547" s="354"/>
      <c r="AV547" s="354"/>
      <c r="AW547" s="354"/>
    </row>
    <row r="548" spans="1:49">
      <c r="A548" s="354"/>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c r="AA548" s="354"/>
      <c r="AB548" s="354"/>
      <c r="AC548" s="354"/>
      <c r="AD548" s="354"/>
      <c r="AE548" s="354"/>
      <c r="AF548" s="354"/>
      <c r="AG548" s="354"/>
      <c r="AH548" s="354"/>
      <c r="AI548" s="354"/>
      <c r="AJ548" s="354"/>
      <c r="AK548" s="354"/>
      <c r="AL548" s="354"/>
      <c r="AM548" s="354"/>
      <c r="AN548" s="354"/>
      <c r="AO548" s="354"/>
      <c r="AP548" s="354"/>
      <c r="AQ548" s="354"/>
      <c r="AR548" s="354"/>
      <c r="AS548" s="354"/>
      <c r="AT548" s="354"/>
      <c r="AU548" s="354"/>
      <c r="AV548" s="354"/>
      <c r="AW548" s="354"/>
    </row>
    <row r="549" spans="1:49">
      <c r="A549" s="354"/>
      <c r="B549" s="354"/>
      <c r="C549" s="354"/>
      <c r="D549" s="354"/>
      <c r="E549" s="354"/>
      <c r="F549" s="354"/>
      <c r="G549" s="354"/>
      <c r="H549" s="354"/>
      <c r="I549" s="354"/>
      <c r="J549" s="354"/>
      <c r="K549" s="354"/>
      <c r="L549" s="354"/>
      <c r="M549" s="354"/>
      <c r="N549" s="354"/>
      <c r="O549" s="354"/>
      <c r="P549" s="354"/>
      <c r="Q549" s="354"/>
      <c r="R549" s="354"/>
      <c r="S549" s="354"/>
      <c r="T549" s="354"/>
      <c r="U549" s="354"/>
      <c r="V549" s="354"/>
      <c r="W549" s="354"/>
      <c r="X549" s="354"/>
      <c r="Y549" s="354"/>
      <c r="Z549" s="354"/>
      <c r="AA549" s="354"/>
      <c r="AB549" s="354"/>
      <c r="AC549" s="354"/>
      <c r="AD549" s="354"/>
      <c r="AE549" s="354"/>
      <c r="AF549" s="354"/>
      <c r="AG549" s="354"/>
      <c r="AH549" s="354"/>
      <c r="AI549" s="354"/>
      <c r="AJ549" s="354"/>
      <c r="AK549" s="354"/>
      <c r="AL549" s="354"/>
      <c r="AM549" s="354"/>
      <c r="AN549" s="354"/>
      <c r="AO549" s="354"/>
      <c r="AP549" s="354"/>
      <c r="AQ549" s="354"/>
      <c r="AR549" s="354"/>
      <c r="AS549" s="354"/>
      <c r="AT549" s="354"/>
      <c r="AU549" s="354"/>
      <c r="AV549" s="354"/>
      <c r="AW549" s="354"/>
    </row>
    <row r="550" spans="1:49">
      <c r="A550" s="354"/>
      <c r="B550" s="354"/>
      <c r="C550" s="354"/>
      <c r="D550" s="354"/>
      <c r="E550" s="354"/>
      <c r="F550" s="354"/>
      <c r="G550" s="354"/>
      <c r="H550" s="354"/>
      <c r="I550" s="354"/>
      <c r="J550" s="354"/>
      <c r="K550" s="354"/>
      <c r="L550" s="354"/>
      <c r="M550" s="354"/>
      <c r="N550" s="354"/>
      <c r="O550" s="354"/>
      <c r="P550" s="354"/>
      <c r="Q550" s="354"/>
      <c r="R550" s="354"/>
      <c r="S550" s="354"/>
      <c r="T550" s="354"/>
      <c r="U550" s="354"/>
      <c r="V550" s="354"/>
      <c r="W550" s="354"/>
      <c r="X550" s="354"/>
      <c r="Y550" s="354"/>
      <c r="Z550" s="354"/>
      <c r="AA550" s="354"/>
      <c r="AB550" s="354"/>
      <c r="AC550" s="354"/>
      <c r="AD550" s="354"/>
      <c r="AE550" s="354"/>
      <c r="AF550" s="354"/>
      <c r="AG550" s="354"/>
      <c r="AH550" s="354"/>
      <c r="AI550" s="354"/>
      <c r="AJ550" s="354"/>
      <c r="AK550" s="354"/>
      <c r="AL550" s="354"/>
      <c r="AM550" s="354"/>
      <c r="AN550" s="354"/>
      <c r="AO550" s="354"/>
      <c r="AP550" s="354"/>
      <c r="AQ550" s="354"/>
      <c r="AR550" s="354"/>
      <c r="AS550" s="354"/>
      <c r="AT550" s="354"/>
      <c r="AU550" s="354"/>
      <c r="AV550" s="354"/>
      <c r="AW550" s="354"/>
    </row>
    <row r="551" spans="1:49">
      <c r="A551" s="354"/>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row>
    <row r="552" spans="1:49">
      <c r="A552" s="354"/>
      <c r="B552" s="35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row>
    <row r="553" spans="1:49">
      <c r="A553" s="354"/>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54"/>
      <c r="AE553" s="354"/>
      <c r="AF553" s="354"/>
      <c r="AG553" s="354"/>
      <c r="AH553" s="354"/>
      <c r="AI553" s="354"/>
      <c r="AJ553" s="354"/>
      <c r="AK553" s="354"/>
      <c r="AL553" s="354"/>
      <c r="AM553" s="354"/>
      <c r="AN553" s="354"/>
      <c r="AO553" s="354"/>
      <c r="AP553" s="354"/>
      <c r="AQ553" s="354"/>
      <c r="AR553" s="354"/>
      <c r="AS553" s="354"/>
      <c r="AT553" s="354"/>
      <c r="AU553" s="354"/>
      <c r="AV553" s="354"/>
      <c r="AW553" s="354"/>
    </row>
    <row r="554" spans="1:49">
      <c r="A554" s="354"/>
      <c r="B554" s="35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row>
    <row r="555" spans="1:49">
      <c r="A555" s="354"/>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c r="AA555" s="354"/>
      <c r="AB555" s="354"/>
      <c r="AC555" s="354"/>
      <c r="AD555" s="354"/>
      <c r="AE555" s="354"/>
      <c r="AF555" s="354"/>
      <c r="AG555" s="354"/>
      <c r="AH555" s="354"/>
      <c r="AI555" s="354"/>
      <c r="AJ555" s="354"/>
      <c r="AK555" s="354"/>
      <c r="AL555" s="354"/>
      <c r="AM555" s="354"/>
      <c r="AN555" s="354"/>
      <c r="AO555" s="354"/>
      <c r="AP555" s="354"/>
      <c r="AQ555" s="354"/>
      <c r="AR555" s="354"/>
      <c r="AS555" s="354"/>
      <c r="AT555" s="354"/>
      <c r="AU555" s="354"/>
      <c r="AV555" s="354"/>
      <c r="AW555" s="354"/>
    </row>
    <row r="556" spans="1:49">
      <c r="A556" s="354"/>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c r="AA556" s="354"/>
      <c r="AB556" s="354"/>
      <c r="AC556" s="354"/>
      <c r="AD556" s="354"/>
      <c r="AE556" s="354"/>
      <c r="AF556" s="354"/>
      <c r="AG556" s="354"/>
      <c r="AH556" s="354"/>
      <c r="AI556" s="354"/>
      <c r="AJ556" s="354"/>
      <c r="AK556" s="354"/>
      <c r="AL556" s="354"/>
      <c r="AM556" s="354"/>
      <c r="AN556" s="354"/>
      <c r="AO556" s="354"/>
      <c r="AP556" s="354"/>
      <c r="AQ556" s="354"/>
      <c r="AR556" s="354"/>
      <c r="AS556" s="354"/>
      <c r="AT556" s="354"/>
      <c r="AU556" s="354"/>
      <c r="AV556" s="354"/>
      <c r="AW556" s="354"/>
    </row>
    <row r="557" spans="1:49">
      <c r="A557" s="354"/>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c r="AD557" s="354"/>
      <c r="AE557" s="354"/>
      <c r="AF557" s="354"/>
      <c r="AG557" s="354"/>
      <c r="AH557" s="354"/>
      <c r="AI557" s="354"/>
      <c r="AJ557" s="354"/>
      <c r="AK557" s="354"/>
      <c r="AL557" s="354"/>
      <c r="AM557" s="354"/>
      <c r="AN557" s="354"/>
      <c r="AO557" s="354"/>
      <c r="AP557" s="354"/>
      <c r="AQ557" s="354"/>
      <c r="AR557" s="354"/>
      <c r="AS557" s="354"/>
      <c r="AT557" s="354"/>
      <c r="AU557" s="354"/>
      <c r="AV557" s="354"/>
      <c r="AW557" s="354"/>
    </row>
    <row r="558" spans="1:49">
      <c r="A558" s="354"/>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c r="AD558" s="354"/>
      <c r="AE558" s="354"/>
      <c r="AF558" s="354"/>
      <c r="AG558" s="354"/>
      <c r="AH558" s="354"/>
      <c r="AI558" s="354"/>
      <c r="AJ558" s="354"/>
      <c r="AK558" s="354"/>
      <c r="AL558" s="354"/>
      <c r="AM558" s="354"/>
      <c r="AN558" s="354"/>
      <c r="AO558" s="354"/>
      <c r="AP558" s="354"/>
      <c r="AQ558" s="354"/>
      <c r="AR558" s="354"/>
      <c r="AS558" s="354"/>
      <c r="AT558" s="354"/>
      <c r="AU558" s="354"/>
      <c r="AV558" s="354"/>
      <c r="AW558" s="354"/>
    </row>
    <row r="559" spans="1:49">
      <c r="A559" s="354"/>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c r="AD559" s="354"/>
      <c r="AE559" s="354"/>
      <c r="AF559" s="354"/>
      <c r="AG559" s="354"/>
      <c r="AH559" s="354"/>
      <c r="AI559" s="354"/>
      <c r="AJ559" s="354"/>
      <c r="AK559" s="354"/>
      <c r="AL559" s="354"/>
      <c r="AM559" s="354"/>
      <c r="AN559" s="354"/>
      <c r="AO559" s="354"/>
      <c r="AP559" s="354"/>
      <c r="AQ559" s="354"/>
      <c r="AR559" s="354"/>
      <c r="AS559" s="354"/>
      <c r="AT559" s="354"/>
      <c r="AU559" s="354"/>
      <c r="AV559" s="354"/>
      <c r="AW559" s="354"/>
    </row>
    <row r="560" spans="1:49">
      <c r="A560" s="354"/>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row>
    <row r="561" spans="1:49">
      <c r="A561" s="354"/>
      <c r="B561" s="354"/>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c r="AA561" s="354"/>
      <c r="AB561" s="354"/>
      <c r="AC561" s="354"/>
      <c r="AD561" s="354"/>
      <c r="AE561" s="354"/>
      <c r="AF561" s="354"/>
      <c r="AG561" s="354"/>
      <c r="AH561" s="354"/>
      <c r="AI561" s="354"/>
      <c r="AJ561" s="354"/>
      <c r="AK561" s="354"/>
      <c r="AL561" s="354"/>
      <c r="AM561" s="354"/>
      <c r="AN561" s="354"/>
      <c r="AO561" s="354"/>
      <c r="AP561" s="354"/>
      <c r="AQ561" s="354"/>
      <c r="AR561" s="354"/>
      <c r="AS561" s="354"/>
      <c r="AT561" s="354"/>
      <c r="AU561" s="354"/>
      <c r="AV561" s="354"/>
      <c r="AW561" s="354"/>
    </row>
    <row r="562" spans="1:49">
      <c r="A562" s="354"/>
      <c r="B562" s="35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row>
    <row r="563" spans="1:49">
      <c r="A563" s="354"/>
      <c r="B563" s="354"/>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c r="AA563" s="354"/>
      <c r="AB563" s="354"/>
      <c r="AC563" s="354"/>
      <c r="AD563" s="354"/>
      <c r="AE563" s="354"/>
      <c r="AF563" s="354"/>
      <c r="AG563" s="354"/>
      <c r="AH563" s="354"/>
      <c r="AI563" s="354"/>
      <c r="AJ563" s="354"/>
      <c r="AK563" s="354"/>
      <c r="AL563" s="354"/>
      <c r="AM563" s="354"/>
      <c r="AN563" s="354"/>
      <c r="AO563" s="354"/>
      <c r="AP563" s="354"/>
      <c r="AQ563" s="354"/>
      <c r="AR563" s="354"/>
      <c r="AS563" s="354"/>
      <c r="AT563" s="354"/>
      <c r="AU563" s="354"/>
      <c r="AV563" s="354"/>
      <c r="AW563" s="354"/>
    </row>
    <row r="564" spans="1:49">
      <c r="A564" s="354"/>
      <c r="B564" s="354"/>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c r="AA564" s="354"/>
      <c r="AB564" s="354"/>
      <c r="AC564" s="354"/>
      <c r="AD564" s="354"/>
      <c r="AE564" s="354"/>
      <c r="AF564" s="354"/>
      <c r="AG564" s="354"/>
      <c r="AH564" s="354"/>
      <c r="AI564" s="354"/>
      <c r="AJ564" s="354"/>
      <c r="AK564" s="354"/>
      <c r="AL564" s="354"/>
      <c r="AM564" s="354"/>
      <c r="AN564" s="354"/>
      <c r="AO564" s="354"/>
      <c r="AP564" s="354"/>
      <c r="AQ564" s="354"/>
      <c r="AR564" s="354"/>
      <c r="AS564" s="354"/>
      <c r="AT564" s="354"/>
      <c r="AU564" s="354"/>
      <c r="AV564" s="354"/>
      <c r="AW564" s="354"/>
    </row>
    <row r="565" spans="1:49">
      <c r="A565" s="354"/>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c r="AA565" s="354"/>
      <c r="AB565" s="354"/>
      <c r="AC565" s="354"/>
      <c r="AD565" s="354"/>
      <c r="AE565" s="354"/>
      <c r="AF565" s="354"/>
      <c r="AG565" s="354"/>
      <c r="AH565" s="354"/>
      <c r="AI565" s="354"/>
      <c r="AJ565" s="354"/>
      <c r="AK565" s="354"/>
      <c r="AL565" s="354"/>
      <c r="AM565" s="354"/>
      <c r="AN565" s="354"/>
      <c r="AO565" s="354"/>
      <c r="AP565" s="354"/>
      <c r="AQ565" s="354"/>
      <c r="AR565" s="354"/>
      <c r="AS565" s="354"/>
      <c r="AT565" s="354"/>
      <c r="AU565" s="354"/>
      <c r="AV565" s="354"/>
      <c r="AW565" s="354"/>
    </row>
    <row r="566" spans="1:49">
      <c r="A566" s="354"/>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row>
    <row r="567" spans="1:49">
      <c r="A567" s="354"/>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c r="AA567" s="354"/>
      <c r="AB567" s="354"/>
      <c r="AC567" s="354"/>
      <c r="AD567" s="354"/>
      <c r="AE567" s="354"/>
      <c r="AF567" s="354"/>
      <c r="AG567" s="354"/>
      <c r="AH567" s="354"/>
      <c r="AI567" s="354"/>
      <c r="AJ567" s="354"/>
      <c r="AK567" s="354"/>
      <c r="AL567" s="354"/>
      <c r="AM567" s="354"/>
      <c r="AN567" s="354"/>
      <c r="AO567" s="354"/>
      <c r="AP567" s="354"/>
      <c r="AQ567" s="354"/>
      <c r="AR567" s="354"/>
      <c r="AS567" s="354"/>
      <c r="AT567" s="354"/>
      <c r="AU567" s="354"/>
      <c r="AV567" s="354"/>
      <c r="AW567" s="354"/>
    </row>
    <row r="568" spans="1:49">
      <c r="A568" s="354"/>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c r="AA568" s="354"/>
      <c r="AB568" s="354"/>
      <c r="AC568" s="354"/>
      <c r="AD568" s="354"/>
      <c r="AE568" s="354"/>
      <c r="AF568" s="354"/>
      <c r="AG568" s="354"/>
      <c r="AH568" s="354"/>
      <c r="AI568" s="354"/>
      <c r="AJ568" s="354"/>
      <c r="AK568" s="354"/>
      <c r="AL568" s="354"/>
      <c r="AM568" s="354"/>
      <c r="AN568" s="354"/>
      <c r="AO568" s="354"/>
      <c r="AP568" s="354"/>
      <c r="AQ568" s="354"/>
      <c r="AR568" s="354"/>
      <c r="AS568" s="354"/>
      <c r="AT568" s="354"/>
      <c r="AU568" s="354"/>
      <c r="AV568" s="354"/>
      <c r="AW568" s="354"/>
    </row>
    <row r="569" spans="1:49">
      <c r="A569" s="354"/>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c r="AA569" s="354"/>
      <c r="AB569" s="354"/>
      <c r="AC569" s="354"/>
      <c r="AD569" s="354"/>
      <c r="AE569" s="354"/>
      <c r="AF569" s="354"/>
      <c r="AG569" s="354"/>
      <c r="AH569" s="354"/>
      <c r="AI569" s="354"/>
      <c r="AJ569" s="354"/>
      <c r="AK569" s="354"/>
      <c r="AL569" s="354"/>
      <c r="AM569" s="354"/>
      <c r="AN569" s="354"/>
      <c r="AO569" s="354"/>
      <c r="AP569" s="354"/>
      <c r="AQ569" s="354"/>
      <c r="AR569" s="354"/>
      <c r="AS569" s="354"/>
      <c r="AT569" s="354"/>
      <c r="AU569" s="354"/>
      <c r="AV569" s="354"/>
      <c r="AW569" s="354"/>
    </row>
    <row r="570" spans="1:49">
      <c r="A570" s="354"/>
      <c r="B570" s="354"/>
      <c r="C570" s="354"/>
      <c r="D570" s="354"/>
      <c r="E570" s="354"/>
      <c r="F570" s="354"/>
      <c r="G570" s="354"/>
      <c r="H570" s="354"/>
      <c r="I570" s="354"/>
      <c r="J570" s="354"/>
      <c r="K570" s="354"/>
      <c r="L570" s="354"/>
      <c r="M570" s="354"/>
      <c r="N570" s="354"/>
      <c r="O570" s="354"/>
      <c r="P570" s="354"/>
      <c r="Q570" s="354"/>
      <c r="R570" s="354"/>
      <c r="S570" s="354"/>
      <c r="T570" s="354"/>
      <c r="U570" s="354"/>
      <c r="V570" s="354"/>
      <c r="W570" s="354"/>
      <c r="X570" s="354"/>
      <c r="Y570" s="354"/>
      <c r="Z570" s="354"/>
      <c r="AA570" s="354"/>
      <c r="AB570" s="354"/>
      <c r="AC570" s="354"/>
      <c r="AD570" s="354"/>
      <c r="AE570" s="354"/>
      <c r="AF570" s="354"/>
      <c r="AG570" s="354"/>
      <c r="AH570" s="354"/>
      <c r="AI570" s="354"/>
      <c r="AJ570" s="354"/>
      <c r="AK570" s="354"/>
      <c r="AL570" s="354"/>
      <c r="AM570" s="354"/>
      <c r="AN570" s="354"/>
      <c r="AO570" s="354"/>
      <c r="AP570" s="354"/>
      <c r="AQ570" s="354"/>
      <c r="AR570" s="354"/>
      <c r="AS570" s="354"/>
      <c r="AT570" s="354"/>
      <c r="AU570" s="354"/>
      <c r="AV570" s="354"/>
      <c r="AW570" s="354"/>
    </row>
    <row r="571" spans="1:49">
      <c r="A571" s="354"/>
      <c r="B571" s="354"/>
      <c r="C571" s="354"/>
      <c r="D571" s="354"/>
      <c r="E571" s="354"/>
      <c r="F571" s="354"/>
      <c r="G571" s="354"/>
      <c r="H571" s="354"/>
      <c r="I571" s="354"/>
      <c r="J571" s="354"/>
      <c r="K571" s="354"/>
      <c r="L571" s="354"/>
      <c r="M571" s="354"/>
      <c r="N571" s="354"/>
      <c r="O571" s="354"/>
      <c r="P571" s="354"/>
      <c r="Q571" s="354"/>
      <c r="R571" s="354"/>
      <c r="S571" s="354"/>
      <c r="T571" s="354"/>
      <c r="U571" s="354"/>
      <c r="V571" s="354"/>
      <c r="W571" s="354"/>
      <c r="X571" s="354"/>
      <c r="Y571" s="354"/>
      <c r="Z571" s="354"/>
      <c r="AA571" s="354"/>
      <c r="AB571" s="354"/>
      <c r="AC571" s="354"/>
      <c r="AD571" s="354"/>
      <c r="AE571" s="354"/>
      <c r="AF571" s="354"/>
      <c r="AG571" s="354"/>
      <c r="AH571" s="354"/>
      <c r="AI571" s="354"/>
      <c r="AJ571" s="354"/>
      <c r="AK571" s="354"/>
      <c r="AL571" s="354"/>
      <c r="AM571" s="354"/>
      <c r="AN571" s="354"/>
      <c r="AO571" s="354"/>
      <c r="AP571" s="354"/>
      <c r="AQ571" s="354"/>
      <c r="AR571" s="354"/>
      <c r="AS571" s="354"/>
      <c r="AT571" s="354"/>
      <c r="AU571" s="354"/>
      <c r="AV571" s="354"/>
      <c r="AW571" s="354"/>
    </row>
    <row r="572" spans="1:49">
      <c r="A572" s="354"/>
      <c r="B572" s="354"/>
      <c r="C572" s="354"/>
      <c r="D572" s="354"/>
      <c r="E572" s="354"/>
      <c r="F572" s="354"/>
      <c r="G572" s="354"/>
      <c r="H572" s="354"/>
      <c r="I572" s="354"/>
      <c r="J572" s="354"/>
      <c r="K572" s="354"/>
      <c r="L572" s="354"/>
      <c r="M572" s="354"/>
      <c r="N572" s="354"/>
      <c r="O572" s="354"/>
      <c r="P572" s="354"/>
      <c r="Q572" s="354"/>
      <c r="R572" s="354"/>
      <c r="S572" s="354"/>
      <c r="T572" s="354"/>
      <c r="U572" s="354"/>
      <c r="V572" s="354"/>
      <c r="W572" s="354"/>
      <c r="X572" s="354"/>
      <c r="Y572" s="354"/>
      <c r="Z572" s="354"/>
      <c r="AA572" s="354"/>
      <c r="AB572" s="354"/>
      <c r="AC572" s="354"/>
      <c r="AD572" s="354"/>
      <c r="AE572" s="354"/>
      <c r="AF572" s="354"/>
      <c r="AG572" s="354"/>
      <c r="AH572" s="354"/>
      <c r="AI572" s="354"/>
      <c r="AJ572" s="354"/>
      <c r="AK572" s="354"/>
      <c r="AL572" s="354"/>
      <c r="AM572" s="354"/>
      <c r="AN572" s="354"/>
      <c r="AO572" s="354"/>
      <c r="AP572" s="354"/>
      <c r="AQ572" s="354"/>
      <c r="AR572" s="354"/>
      <c r="AS572" s="354"/>
      <c r="AT572" s="354"/>
      <c r="AU572" s="354"/>
      <c r="AV572" s="354"/>
      <c r="AW572" s="354"/>
    </row>
    <row r="573" spans="1:49">
      <c r="A573" s="354"/>
      <c r="B573" s="354"/>
      <c r="C573" s="354"/>
      <c r="D573" s="354"/>
      <c r="E573" s="354"/>
      <c r="F573" s="354"/>
      <c r="G573" s="354"/>
      <c r="H573" s="354"/>
      <c r="I573" s="354"/>
      <c r="J573" s="354"/>
      <c r="K573" s="354"/>
      <c r="L573" s="354"/>
      <c r="M573" s="354"/>
      <c r="N573" s="354"/>
      <c r="O573" s="354"/>
      <c r="P573" s="354"/>
      <c r="Q573" s="354"/>
      <c r="R573" s="354"/>
      <c r="S573" s="354"/>
      <c r="T573" s="354"/>
      <c r="U573" s="354"/>
      <c r="V573" s="354"/>
      <c r="W573" s="354"/>
      <c r="X573" s="354"/>
      <c r="Y573" s="354"/>
      <c r="Z573" s="354"/>
      <c r="AA573" s="354"/>
      <c r="AB573" s="354"/>
      <c r="AC573" s="354"/>
      <c r="AD573" s="354"/>
      <c r="AE573" s="354"/>
      <c r="AF573" s="354"/>
      <c r="AG573" s="354"/>
      <c r="AH573" s="354"/>
      <c r="AI573" s="354"/>
      <c r="AJ573" s="354"/>
      <c r="AK573" s="354"/>
      <c r="AL573" s="354"/>
      <c r="AM573" s="354"/>
      <c r="AN573" s="354"/>
      <c r="AO573" s="354"/>
      <c r="AP573" s="354"/>
      <c r="AQ573" s="354"/>
      <c r="AR573" s="354"/>
      <c r="AS573" s="354"/>
      <c r="AT573" s="354"/>
      <c r="AU573" s="354"/>
      <c r="AV573" s="354"/>
      <c r="AW573" s="354"/>
    </row>
    <row r="574" spans="1:49">
      <c r="A574" s="354"/>
      <c r="B574" s="354"/>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c r="AA574" s="354"/>
      <c r="AB574" s="354"/>
      <c r="AC574" s="354"/>
      <c r="AD574" s="354"/>
      <c r="AE574" s="354"/>
      <c r="AF574" s="354"/>
      <c r="AG574" s="354"/>
      <c r="AH574" s="354"/>
      <c r="AI574" s="354"/>
      <c r="AJ574" s="354"/>
      <c r="AK574" s="354"/>
      <c r="AL574" s="354"/>
      <c r="AM574" s="354"/>
      <c r="AN574" s="354"/>
      <c r="AO574" s="354"/>
      <c r="AP574" s="354"/>
      <c r="AQ574" s="354"/>
      <c r="AR574" s="354"/>
      <c r="AS574" s="354"/>
      <c r="AT574" s="354"/>
      <c r="AU574" s="354"/>
      <c r="AV574" s="354"/>
      <c r="AW574" s="354"/>
    </row>
    <row r="575" spans="1:49">
      <c r="A575" s="354"/>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c r="AA575" s="354"/>
      <c r="AB575" s="354"/>
      <c r="AC575" s="354"/>
      <c r="AD575" s="354"/>
      <c r="AE575" s="354"/>
      <c r="AF575" s="354"/>
      <c r="AG575" s="354"/>
      <c r="AH575" s="354"/>
      <c r="AI575" s="354"/>
      <c r="AJ575" s="354"/>
      <c r="AK575" s="354"/>
      <c r="AL575" s="354"/>
      <c r="AM575" s="354"/>
      <c r="AN575" s="354"/>
      <c r="AO575" s="354"/>
      <c r="AP575" s="354"/>
      <c r="AQ575" s="354"/>
      <c r="AR575" s="354"/>
      <c r="AS575" s="354"/>
      <c r="AT575" s="354"/>
      <c r="AU575" s="354"/>
      <c r="AV575" s="354"/>
      <c r="AW575" s="354"/>
    </row>
    <row r="576" spans="1:49">
      <c r="A576" s="354"/>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c r="AA576" s="354"/>
      <c r="AB576" s="354"/>
      <c r="AC576" s="354"/>
      <c r="AD576" s="354"/>
      <c r="AE576" s="354"/>
      <c r="AF576" s="354"/>
      <c r="AG576" s="354"/>
      <c r="AH576" s="354"/>
      <c r="AI576" s="354"/>
      <c r="AJ576" s="354"/>
      <c r="AK576" s="354"/>
      <c r="AL576" s="354"/>
      <c r="AM576" s="354"/>
      <c r="AN576" s="354"/>
      <c r="AO576" s="354"/>
      <c r="AP576" s="354"/>
      <c r="AQ576" s="354"/>
      <c r="AR576" s="354"/>
      <c r="AS576" s="354"/>
      <c r="AT576" s="354"/>
      <c r="AU576" s="354"/>
      <c r="AV576" s="354"/>
      <c r="AW576" s="354"/>
    </row>
    <row r="577" spans="1:49">
      <c r="A577" s="354"/>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c r="AA577" s="354"/>
      <c r="AB577" s="354"/>
      <c r="AC577" s="354"/>
      <c r="AD577" s="354"/>
      <c r="AE577" s="354"/>
      <c r="AF577" s="354"/>
      <c r="AG577" s="354"/>
      <c r="AH577" s="354"/>
      <c r="AI577" s="354"/>
      <c r="AJ577" s="354"/>
      <c r="AK577" s="354"/>
      <c r="AL577" s="354"/>
      <c r="AM577" s="354"/>
      <c r="AN577" s="354"/>
      <c r="AO577" s="354"/>
      <c r="AP577" s="354"/>
      <c r="AQ577" s="354"/>
      <c r="AR577" s="354"/>
      <c r="AS577" s="354"/>
      <c r="AT577" s="354"/>
      <c r="AU577" s="354"/>
      <c r="AV577" s="354"/>
      <c r="AW577" s="354"/>
    </row>
    <row r="578" spans="1:49">
      <c r="A578" s="354"/>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54"/>
      <c r="AE578" s="354"/>
      <c r="AF578" s="354"/>
      <c r="AG578" s="354"/>
      <c r="AH578" s="354"/>
      <c r="AI578" s="354"/>
      <c r="AJ578" s="354"/>
      <c r="AK578" s="354"/>
      <c r="AL578" s="354"/>
      <c r="AM578" s="354"/>
      <c r="AN578" s="354"/>
      <c r="AO578" s="354"/>
      <c r="AP578" s="354"/>
      <c r="AQ578" s="354"/>
      <c r="AR578" s="354"/>
      <c r="AS578" s="354"/>
      <c r="AT578" s="354"/>
      <c r="AU578" s="354"/>
      <c r="AV578" s="354"/>
      <c r="AW578" s="354"/>
    </row>
    <row r="579" spans="1:49">
      <c r="A579" s="354"/>
      <c r="B579" s="354"/>
      <c r="C579" s="354"/>
      <c r="D579" s="354"/>
      <c r="E579" s="354"/>
      <c r="F579" s="354"/>
      <c r="G579" s="354"/>
      <c r="H579" s="354"/>
      <c r="I579" s="354"/>
      <c r="J579" s="354"/>
      <c r="K579" s="354"/>
      <c r="L579" s="354"/>
      <c r="M579" s="354"/>
      <c r="N579" s="354"/>
      <c r="O579" s="354"/>
      <c r="P579" s="354"/>
      <c r="Q579" s="354"/>
      <c r="R579" s="354"/>
      <c r="S579" s="354"/>
      <c r="T579" s="354"/>
      <c r="U579" s="354"/>
      <c r="V579" s="354"/>
      <c r="W579" s="354"/>
      <c r="X579" s="354"/>
      <c r="Y579" s="354"/>
      <c r="Z579" s="354"/>
      <c r="AA579" s="354"/>
      <c r="AB579" s="354"/>
      <c r="AC579" s="354"/>
      <c r="AD579" s="354"/>
      <c r="AE579" s="354"/>
      <c r="AF579" s="354"/>
      <c r="AG579" s="354"/>
      <c r="AH579" s="354"/>
      <c r="AI579" s="354"/>
      <c r="AJ579" s="354"/>
      <c r="AK579" s="354"/>
      <c r="AL579" s="354"/>
      <c r="AM579" s="354"/>
      <c r="AN579" s="354"/>
      <c r="AO579" s="354"/>
      <c r="AP579" s="354"/>
      <c r="AQ579" s="354"/>
      <c r="AR579" s="354"/>
      <c r="AS579" s="354"/>
      <c r="AT579" s="354"/>
      <c r="AU579" s="354"/>
      <c r="AV579" s="354"/>
      <c r="AW579" s="354"/>
    </row>
    <row r="580" spans="1:49">
      <c r="A580" s="354"/>
      <c r="B580" s="354"/>
      <c r="C580" s="354"/>
      <c r="D580" s="354"/>
      <c r="E580" s="354"/>
      <c r="F580" s="354"/>
      <c r="G580" s="354"/>
      <c r="H580" s="354"/>
      <c r="I580" s="354"/>
      <c r="J580" s="354"/>
      <c r="K580" s="354"/>
      <c r="L580" s="354"/>
      <c r="M580" s="354"/>
      <c r="N580" s="354"/>
      <c r="O580" s="354"/>
      <c r="P580" s="354"/>
      <c r="Q580" s="354"/>
      <c r="R580" s="354"/>
      <c r="S580" s="354"/>
      <c r="T580" s="354"/>
      <c r="U580" s="354"/>
      <c r="V580" s="354"/>
      <c r="W580" s="354"/>
      <c r="X580" s="354"/>
      <c r="Y580" s="354"/>
      <c r="Z580" s="354"/>
      <c r="AA580" s="354"/>
      <c r="AB580" s="354"/>
      <c r="AC580" s="354"/>
      <c r="AD580" s="354"/>
      <c r="AE580" s="354"/>
      <c r="AF580" s="354"/>
      <c r="AG580" s="354"/>
      <c r="AH580" s="354"/>
      <c r="AI580" s="354"/>
      <c r="AJ580" s="354"/>
      <c r="AK580" s="354"/>
      <c r="AL580" s="354"/>
      <c r="AM580" s="354"/>
      <c r="AN580" s="354"/>
      <c r="AO580" s="354"/>
      <c r="AP580" s="354"/>
      <c r="AQ580" s="354"/>
      <c r="AR580" s="354"/>
      <c r="AS580" s="354"/>
      <c r="AT580" s="354"/>
      <c r="AU580" s="354"/>
      <c r="AV580" s="354"/>
      <c r="AW580" s="354"/>
    </row>
    <row r="581" spans="1:49">
      <c r="A581" s="354"/>
      <c r="B581" s="354"/>
      <c r="C581" s="354"/>
      <c r="D581" s="354"/>
      <c r="E581" s="354"/>
      <c r="F581" s="354"/>
      <c r="G581" s="354"/>
      <c r="H581" s="354"/>
      <c r="I581" s="354"/>
      <c r="J581" s="354"/>
      <c r="K581" s="354"/>
      <c r="L581" s="354"/>
      <c r="M581" s="354"/>
      <c r="N581" s="354"/>
      <c r="O581" s="354"/>
      <c r="P581" s="354"/>
      <c r="Q581" s="354"/>
      <c r="R581" s="354"/>
      <c r="S581" s="354"/>
      <c r="T581" s="354"/>
      <c r="U581" s="354"/>
      <c r="V581" s="354"/>
      <c r="W581" s="354"/>
      <c r="X581" s="354"/>
      <c r="Y581" s="354"/>
      <c r="Z581" s="354"/>
      <c r="AA581" s="354"/>
      <c r="AB581" s="354"/>
      <c r="AC581" s="354"/>
      <c r="AD581" s="354"/>
      <c r="AE581" s="354"/>
      <c r="AF581" s="354"/>
      <c r="AG581" s="354"/>
      <c r="AH581" s="354"/>
      <c r="AI581" s="354"/>
      <c r="AJ581" s="354"/>
      <c r="AK581" s="354"/>
      <c r="AL581" s="354"/>
      <c r="AM581" s="354"/>
      <c r="AN581" s="354"/>
      <c r="AO581" s="354"/>
      <c r="AP581" s="354"/>
      <c r="AQ581" s="354"/>
      <c r="AR581" s="354"/>
      <c r="AS581" s="354"/>
      <c r="AT581" s="354"/>
      <c r="AU581" s="354"/>
      <c r="AV581" s="354"/>
      <c r="AW581" s="354"/>
    </row>
    <row r="582" spans="1:49">
      <c r="A582" s="354"/>
      <c r="B582" s="35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row>
    <row r="583" spans="1:49">
      <c r="A583" s="354"/>
      <c r="B583" s="354"/>
      <c r="C583" s="354"/>
      <c r="D583" s="354"/>
      <c r="E583" s="354"/>
      <c r="F583" s="354"/>
      <c r="G583" s="354"/>
      <c r="H583" s="354"/>
      <c r="I583" s="354"/>
      <c r="J583" s="354"/>
      <c r="K583" s="354"/>
      <c r="L583" s="354"/>
      <c r="M583" s="354"/>
      <c r="N583" s="354"/>
      <c r="O583" s="354"/>
      <c r="P583" s="354"/>
      <c r="Q583" s="354"/>
      <c r="R583" s="354"/>
      <c r="S583" s="354"/>
      <c r="T583" s="354"/>
      <c r="U583" s="354"/>
      <c r="V583" s="354"/>
      <c r="W583" s="354"/>
      <c r="X583" s="354"/>
      <c r="Y583" s="354"/>
      <c r="Z583" s="354"/>
      <c r="AA583" s="354"/>
      <c r="AB583" s="354"/>
      <c r="AC583" s="354"/>
      <c r="AD583" s="354"/>
      <c r="AE583" s="354"/>
      <c r="AF583" s="354"/>
      <c r="AG583" s="354"/>
      <c r="AH583" s="354"/>
      <c r="AI583" s="354"/>
      <c r="AJ583" s="354"/>
      <c r="AK583" s="354"/>
      <c r="AL583" s="354"/>
      <c r="AM583" s="354"/>
      <c r="AN583" s="354"/>
      <c r="AO583" s="354"/>
      <c r="AP583" s="354"/>
      <c r="AQ583" s="354"/>
      <c r="AR583" s="354"/>
      <c r="AS583" s="354"/>
      <c r="AT583" s="354"/>
      <c r="AU583" s="354"/>
      <c r="AV583" s="354"/>
      <c r="AW583" s="354"/>
    </row>
    <row r="584" spans="1:49">
      <c r="A584" s="354"/>
      <c r="B584" s="354"/>
      <c r="C584" s="354"/>
      <c r="D584" s="354"/>
      <c r="E584" s="354"/>
      <c r="F584" s="354"/>
      <c r="G584" s="354"/>
      <c r="H584" s="354"/>
      <c r="I584" s="354"/>
      <c r="J584" s="354"/>
      <c r="K584" s="354"/>
      <c r="L584" s="354"/>
      <c r="M584" s="354"/>
      <c r="N584" s="354"/>
      <c r="O584" s="354"/>
      <c r="P584" s="354"/>
      <c r="Q584" s="354"/>
      <c r="R584" s="354"/>
      <c r="S584" s="354"/>
      <c r="T584" s="354"/>
      <c r="U584" s="354"/>
      <c r="V584" s="354"/>
      <c r="W584" s="354"/>
      <c r="X584" s="354"/>
      <c r="Y584" s="354"/>
      <c r="Z584" s="354"/>
      <c r="AA584" s="354"/>
      <c r="AB584" s="354"/>
      <c r="AC584" s="354"/>
      <c r="AD584" s="354"/>
      <c r="AE584" s="354"/>
      <c r="AF584" s="354"/>
      <c r="AG584" s="354"/>
      <c r="AH584" s="354"/>
      <c r="AI584" s="354"/>
      <c r="AJ584" s="354"/>
      <c r="AK584" s="354"/>
      <c r="AL584" s="354"/>
      <c r="AM584" s="354"/>
      <c r="AN584" s="354"/>
      <c r="AO584" s="354"/>
      <c r="AP584" s="354"/>
      <c r="AQ584" s="354"/>
      <c r="AR584" s="354"/>
      <c r="AS584" s="354"/>
      <c r="AT584" s="354"/>
      <c r="AU584" s="354"/>
      <c r="AV584" s="354"/>
      <c r="AW584" s="354"/>
    </row>
    <row r="585" spans="1:49">
      <c r="A585" s="354"/>
      <c r="B585" s="354"/>
      <c r="C585" s="354"/>
      <c r="D585" s="354"/>
      <c r="E585" s="354"/>
      <c r="F585" s="354"/>
      <c r="G585" s="354"/>
      <c r="H585" s="354"/>
      <c r="I585" s="354"/>
      <c r="J585" s="354"/>
      <c r="K585" s="354"/>
      <c r="L585" s="354"/>
      <c r="M585" s="354"/>
      <c r="N585" s="354"/>
      <c r="O585" s="354"/>
      <c r="P585" s="354"/>
      <c r="Q585" s="354"/>
      <c r="R585" s="354"/>
      <c r="S585" s="354"/>
      <c r="T585" s="354"/>
      <c r="U585" s="354"/>
      <c r="V585" s="354"/>
      <c r="W585" s="354"/>
      <c r="X585" s="354"/>
      <c r="Y585" s="354"/>
      <c r="Z585" s="354"/>
      <c r="AA585" s="354"/>
      <c r="AB585" s="354"/>
      <c r="AC585" s="354"/>
      <c r="AD585" s="354"/>
      <c r="AE585" s="354"/>
      <c r="AF585" s="354"/>
      <c r="AG585" s="354"/>
      <c r="AH585" s="354"/>
      <c r="AI585" s="354"/>
      <c r="AJ585" s="354"/>
      <c r="AK585" s="354"/>
      <c r="AL585" s="354"/>
      <c r="AM585" s="354"/>
      <c r="AN585" s="354"/>
      <c r="AO585" s="354"/>
      <c r="AP585" s="354"/>
      <c r="AQ585" s="354"/>
      <c r="AR585" s="354"/>
      <c r="AS585" s="354"/>
      <c r="AT585" s="354"/>
      <c r="AU585" s="354"/>
      <c r="AV585" s="354"/>
      <c r="AW585" s="354"/>
    </row>
    <row r="586" spans="1:49">
      <c r="A586" s="354"/>
      <c r="B586" s="354"/>
      <c r="C586" s="354"/>
      <c r="D586" s="354"/>
      <c r="E586" s="354"/>
      <c r="F586" s="354"/>
      <c r="G586" s="354"/>
      <c r="H586" s="354"/>
      <c r="I586" s="354"/>
      <c r="J586" s="354"/>
      <c r="K586" s="354"/>
      <c r="L586" s="354"/>
      <c r="M586" s="354"/>
      <c r="N586" s="354"/>
      <c r="O586" s="354"/>
      <c r="P586" s="354"/>
      <c r="Q586" s="354"/>
      <c r="R586" s="354"/>
      <c r="S586" s="354"/>
      <c r="T586" s="354"/>
      <c r="U586" s="354"/>
      <c r="V586" s="354"/>
      <c r="W586" s="354"/>
      <c r="X586" s="354"/>
      <c r="Y586" s="354"/>
      <c r="Z586" s="354"/>
      <c r="AA586" s="354"/>
      <c r="AB586" s="354"/>
      <c r="AC586" s="354"/>
      <c r="AD586" s="354"/>
      <c r="AE586" s="354"/>
      <c r="AF586" s="354"/>
      <c r="AG586" s="354"/>
      <c r="AH586" s="354"/>
      <c r="AI586" s="354"/>
      <c r="AJ586" s="354"/>
      <c r="AK586" s="354"/>
      <c r="AL586" s="354"/>
      <c r="AM586" s="354"/>
      <c r="AN586" s="354"/>
      <c r="AO586" s="354"/>
      <c r="AP586" s="354"/>
      <c r="AQ586" s="354"/>
      <c r="AR586" s="354"/>
      <c r="AS586" s="354"/>
      <c r="AT586" s="354"/>
      <c r="AU586" s="354"/>
      <c r="AV586" s="354"/>
      <c r="AW586" s="354"/>
    </row>
    <row r="587" spans="1:49">
      <c r="A587" s="354"/>
      <c r="B587" s="354"/>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c r="AA587" s="354"/>
      <c r="AB587" s="354"/>
      <c r="AC587" s="354"/>
      <c r="AD587" s="354"/>
      <c r="AE587" s="354"/>
      <c r="AF587" s="354"/>
      <c r="AG587" s="354"/>
      <c r="AH587" s="354"/>
      <c r="AI587" s="354"/>
      <c r="AJ587" s="354"/>
      <c r="AK587" s="354"/>
      <c r="AL587" s="354"/>
      <c r="AM587" s="354"/>
      <c r="AN587" s="354"/>
      <c r="AO587" s="354"/>
      <c r="AP587" s="354"/>
      <c r="AQ587" s="354"/>
      <c r="AR587" s="354"/>
      <c r="AS587" s="354"/>
      <c r="AT587" s="354"/>
      <c r="AU587" s="354"/>
      <c r="AV587" s="354"/>
      <c r="AW587" s="354"/>
    </row>
    <row r="588" spans="1:49">
      <c r="A588" s="354"/>
      <c r="B588" s="354"/>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c r="AA588" s="354"/>
      <c r="AB588" s="354"/>
      <c r="AC588" s="354"/>
      <c r="AD588" s="354"/>
      <c r="AE588" s="354"/>
      <c r="AF588" s="354"/>
      <c r="AG588" s="354"/>
      <c r="AH588" s="354"/>
      <c r="AI588" s="354"/>
      <c r="AJ588" s="354"/>
      <c r="AK588" s="354"/>
      <c r="AL588" s="354"/>
      <c r="AM588" s="354"/>
      <c r="AN588" s="354"/>
      <c r="AO588" s="354"/>
      <c r="AP588" s="354"/>
      <c r="AQ588" s="354"/>
      <c r="AR588" s="354"/>
      <c r="AS588" s="354"/>
      <c r="AT588" s="354"/>
      <c r="AU588" s="354"/>
      <c r="AV588" s="354"/>
      <c r="AW588" s="354"/>
    </row>
    <row r="589" spans="1:49">
      <c r="A589" s="354"/>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c r="AA589" s="354"/>
      <c r="AB589" s="354"/>
      <c r="AC589" s="354"/>
      <c r="AD589" s="354"/>
      <c r="AE589" s="354"/>
      <c r="AF589" s="354"/>
      <c r="AG589" s="354"/>
      <c r="AH589" s="354"/>
      <c r="AI589" s="354"/>
      <c r="AJ589" s="354"/>
      <c r="AK589" s="354"/>
      <c r="AL589" s="354"/>
      <c r="AM589" s="354"/>
      <c r="AN589" s="354"/>
      <c r="AO589" s="354"/>
      <c r="AP589" s="354"/>
      <c r="AQ589" s="354"/>
      <c r="AR589" s="354"/>
      <c r="AS589" s="354"/>
      <c r="AT589" s="354"/>
      <c r="AU589" s="354"/>
      <c r="AV589" s="354"/>
      <c r="AW589" s="354"/>
    </row>
    <row r="590" spans="1:49">
      <c r="A590" s="354"/>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row>
    <row r="591" spans="1:49">
      <c r="A591" s="354"/>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c r="AA591" s="354"/>
      <c r="AB591" s="354"/>
      <c r="AC591" s="354"/>
      <c r="AD591" s="354"/>
      <c r="AE591" s="354"/>
      <c r="AF591" s="354"/>
      <c r="AG591" s="354"/>
      <c r="AH591" s="354"/>
      <c r="AI591" s="354"/>
      <c r="AJ591" s="354"/>
      <c r="AK591" s="354"/>
      <c r="AL591" s="354"/>
      <c r="AM591" s="354"/>
      <c r="AN591" s="354"/>
      <c r="AO591" s="354"/>
      <c r="AP591" s="354"/>
      <c r="AQ591" s="354"/>
      <c r="AR591" s="354"/>
      <c r="AS591" s="354"/>
      <c r="AT591" s="354"/>
      <c r="AU591" s="354"/>
      <c r="AV591" s="354"/>
      <c r="AW591" s="354"/>
    </row>
    <row r="592" spans="1:49">
      <c r="A592" s="354"/>
      <c r="B592" s="35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row>
    <row r="593" spans="1:49">
      <c r="A593" s="354"/>
      <c r="B593" s="354"/>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c r="AA593" s="354"/>
      <c r="AB593" s="354"/>
      <c r="AC593" s="354"/>
      <c r="AD593" s="354"/>
      <c r="AE593" s="354"/>
      <c r="AF593" s="354"/>
      <c r="AG593" s="354"/>
      <c r="AH593" s="354"/>
      <c r="AI593" s="354"/>
      <c r="AJ593" s="354"/>
      <c r="AK593" s="354"/>
      <c r="AL593" s="354"/>
      <c r="AM593" s="354"/>
      <c r="AN593" s="354"/>
      <c r="AO593" s="354"/>
      <c r="AP593" s="354"/>
      <c r="AQ593" s="354"/>
      <c r="AR593" s="354"/>
      <c r="AS593" s="354"/>
      <c r="AT593" s="354"/>
      <c r="AU593" s="354"/>
      <c r="AV593" s="354"/>
      <c r="AW593" s="354"/>
    </row>
    <row r="594" spans="1:49">
      <c r="A594" s="354"/>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354"/>
      <c r="AE594" s="354"/>
      <c r="AF594" s="354"/>
      <c r="AG594" s="354"/>
      <c r="AH594" s="354"/>
      <c r="AI594" s="354"/>
      <c r="AJ594" s="354"/>
      <c r="AK594" s="354"/>
      <c r="AL594" s="354"/>
      <c r="AM594" s="354"/>
      <c r="AN594" s="354"/>
      <c r="AO594" s="354"/>
      <c r="AP594" s="354"/>
      <c r="AQ594" s="354"/>
      <c r="AR594" s="354"/>
      <c r="AS594" s="354"/>
      <c r="AT594" s="354"/>
      <c r="AU594" s="354"/>
      <c r="AV594" s="354"/>
      <c r="AW594" s="354"/>
    </row>
    <row r="595" spans="1:49">
      <c r="A595" s="354"/>
      <c r="B595" s="354"/>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c r="AA595" s="354"/>
      <c r="AB595" s="354"/>
      <c r="AC595" s="354"/>
      <c r="AD595" s="354"/>
      <c r="AE595" s="354"/>
      <c r="AF595" s="354"/>
      <c r="AG595" s="354"/>
      <c r="AH595" s="354"/>
      <c r="AI595" s="354"/>
      <c r="AJ595" s="354"/>
      <c r="AK595" s="354"/>
      <c r="AL595" s="354"/>
      <c r="AM595" s="354"/>
      <c r="AN595" s="354"/>
      <c r="AO595" s="354"/>
      <c r="AP595" s="354"/>
      <c r="AQ595" s="354"/>
      <c r="AR595" s="354"/>
      <c r="AS595" s="354"/>
      <c r="AT595" s="354"/>
      <c r="AU595" s="354"/>
      <c r="AV595" s="354"/>
      <c r="AW595" s="354"/>
    </row>
    <row r="596" spans="1:49">
      <c r="A596" s="354"/>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54"/>
      <c r="AE596" s="354"/>
      <c r="AF596" s="354"/>
      <c r="AG596" s="354"/>
      <c r="AH596" s="354"/>
      <c r="AI596" s="354"/>
      <c r="AJ596" s="354"/>
      <c r="AK596" s="354"/>
      <c r="AL596" s="354"/>
      <c r="AM596" s="354"/>
      <c r="AN596" s="354"/>
      <c r="AO596" s="354"/>
      <c r="AP596" s="354"/>
      <c r="AQ596" s="354"/>
      <c r="AR596" s="354"/>
      <c r="AS596" s="354"/>
      <c r="AT596" s="354"/>
      <c r="AU596" s="354"/>
      <c r="AV596" s="354"/>
      <c r="AW596" s="354"/>
    </row>
    <row r="597" spans="1:49">
      <c r="A597" s="354"/>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c r="AA597" s="354"/>
      <c r="AB597" s="354"/>
      <c r="AC597" s="354"/>
      <c r="AD597" s="354"/>
      <c r="AE597" s="354"/>
      <c r="AF597" s="354"/>
      <c r="AG597" s="354"/>
      <c r="AH597" s="354"/>
      <c r="AI597" s="354"/>
      <c r="AJ597" s="354"/>
      <c r="AK597" s="354"/>
      <c r="AL597" s="354"/>
      <c r="AM597" s="354"/>
      <c r="AN597" s="354"/>
      <c r="AO597" s="354"/>
      <c r="AP597" s="354"/>
      <c r="AQ597" s="354"/>
      <c r="AR597" s="354"/>
      <c r="AS597" s="354"/>
      <c r="AT597" s="354"/>
      <c r="AU597" s="354"/>
      <c r="AV597" s="354"/>
      <c r="AW597" s="354"/>
    </row>
    <row r="598" spans="1:49">
      <c r="A598" s="354"/>
      <c r="B598" s="354"/>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c r="AA598" s="354"/>
      <c r="AB598" s="354"/>
      <c r="AC598" s="354"/>
      <c r="AD598" s="354"/>
      <c r="AE598" s="354"/>
      <c r="AF598" s="354"/>
      <c r="AG598" s="354"/>
      <c r="AH598" s="354"/>
      <c r="AI598" s="354"/>
      <c r="AJ598" s="354"/>
      <c r="AK598" s="354"/>
      <c r="AL598" s="354"/>
      <c r="AM598" s="354"/>
      <c r="AN598" s="354"/>
      <c r="AO598" s="354"/>
      <c r="AP598" s="354"/>
      <c r="AQ598" s="354"/>
      <c r="AR598" s="354"/>
      <c r="AS598" s="354"/>
      <c r="AT598" s="354"/>
      <c r="AU598" s="354"/>
      <c r="AV598" s="354"/>
      <c r="AW598" s="354"/>
    </row>
    <row r="599" spans="1:49">
      <c r="A599" s="354"/>
      <c r="B599" s="354"/>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c r="AA599" s="354"/>
      <c r="AB599" s="354"/>
      <c r="AC599" s="354"/>
      <c r="AD599" s="354"/>
      <c r="AE599" s="354"/>
      <c r="AF599" s="354"/>
      <c r="AG599" s="354"/>
      <c r="AH599" s="354"/>
      <c r="AI599" s="354"/>
      <c r="AJ599" s="354"/>
      <c r="AK599" s="354"/>
      <c r="AL599" s="354"/>
      <c r="AM599" s="354"/>
      <c r="AN599" s="354"/>
      <c r="AO599" s="354"/>
      <c r="AP599" s="354"/>
      <c r="AQ599" s="354"/>
      <c r="AR599" s="354"/>
      <c r="AS599" s="354"/>
      <c r="AT599" s="354"/>
      <c r="AU599" s="354"/>
      <c r="AV599" s="354"/>
      <c r="AW599" s="354"/>
    </row>
    <row r="600" spans="1:49">
      <c r="A600" s="354"/>
      <c r="B600" s="354"/>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c r="AA600" s="354"/>
      <c r="AB600" s="354"/>
      <c r="AC600" s="354"/>
      <c r="AD600" s="354"/>
      <c r="AE600" s="354"/>
      <c r="AF600" s="354"/>
      <c r="AG600" s="354"/>
      <c r="AH600" s="354"/>
      <c r="AI600" s="354"/>
      <c r="AJ600" s="354"/>
      <c r="AK600" s="354"/>
      <c r="AL600" s="354"/>
      <c r="AM600" s="354"/>
      <c r="AN600" s="354"/>
      <c r="AO600" s="354"/>
      <c r="AP600" s="354"/>
      <c r="AQ600" s="354"/>
      <c r="AR600" s="354"/>
      <c r="AS600" s="354"/>
      <c r="AT600" s="354"/>
      <c r="AU600" s="354"/>
      <c r="AV600" s="354"/>
      <c r="AW600" s="354"/>
    </row>
    <row r="601" spans="1:49">
      <c r="A601" s="354"/>
      <c r="B601" s="354"/>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c r="AA601" s="354"/>
      <c r="AB601" s="354"/>
      <c r="AC601" s="354"/>
      <c r="AD601" s="354"/>
      <c r="AE601" s="354"/>
      <c r="AF601" s="354"/>
      <c r="AG601" s="354"/>
      <c r="AH601" s="354"/>
      <c r="AI601" s="354"/>
      <c r="AJ601" s="354"/>
      <c r="AK601" s="354"/>
      <c r="AL601" s="354"/>
      <c r="AM601" s="354"/>
      <c r="AN601" s="354"/>
      <c r="AO601" s="354"/>
      <c r="AP601" s="354"/>
      <c r="AQ601" s="354"/>
      <c r="AR601" s="354"/>
      <c r="AS601" s="354"/>
      <c r="AT601" s="354"/>
      <c r="AU601" s="354"/>
      <c r="AV601" s="354"/>
      <c r="AW601" s="354"/>
    </row>
    <row r="602" spans="1:49">
      <c r="A602" s="354"/>
      <c r="B602" s="35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row>
    <row r="603" spans="1:49">
      <c r="A603" s="354"/>
      <c r="B603" s="354"/>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c r="AA603" s="354"/>
      <c r="AB603" s="354"/>
      <c r="AC603" s="354"/>
      <c r="AD603" s="354"/>
      <c r="AE603" s="354"/>
      <c r="AF603" s="354"/>
      <c r="AG603" s="354"/>
      <c r="AH603" s="354"/>
      <c r="AI603" s="354"/>
      <c r="AJ603" s="354"/>
      <c r="AK603" s="354"/>
      <c r="AL603" s="354"/>
      <c r="AM603" s="354"/>
      <c r="AN603" s="354"/>
      <c r="AO603" s="354"/>
      <c r="AP603" s="354"/>
      <c r="AQ603" s="354"/>
      <c r="AR603" s="354"/>
      <c r="AS603" s="354"/>
      <c r="AT603" s="354"/>
      <c r="AU603" s="354"/>
      <c r="AV603" s="354"/>
      <c r="AW603" s="354"/>
    </row>
    <row r="604" spans="1:49">
      <c r="A604" s="354"/>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54"/>
      <c r="AE604" s="354"/>
      <c r="AF604" s="354"/>
      <c r="AG604" s="354"/>
      <c r="AH604" s="354"/>
      <c r="AI604" s="354"/>
      <c r="AJ604" s="354"/>
      <c r="AK604" s="354"/>
      <c r="AL604" s="354"/>
      <c r="AM604" s="354"/>
      <c r="AN604" s="354"/>
      <c r="AO604" s="354"/>
      <c r="AP604" s="354"/>
      <c r="AQ604" s="354"/>
      <c r="AR604" s="354"/>
      <c r="AS604" s="354"/>
      <c r="AT604" s="354"/>
      <c r="AU604" s="354"/>
      <c r="AV604" s="354"/>
      <c r="AW604" s="354"/>
    </row>
    <row r="605" spans="1:49">
      <c r="A605" s="354"/>
      <c r="B605" s="354"/>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c r="AA605" s="354"/>
      <c r="AB605" s="354"/>
      <c r="AC605" s="354"/>
      <c r="AD605" s="354"/>
      <c r="AE605" s="354"/>
      <c r="AF605" s="354"/>
      <c r="AG605" s="354"/>
      <c r="AH605" s="354"/>
      <c r="AI605" s="354"/>
      <c r="AJ605" s="354"/>
      <c r="AK605" s="354"/>
      <c r="AL605" s="354"/>
      <c r="AM605" s="354"/>
      <c r="AN605" s="354"/>
      <c r="AO605" s="354"/>
      <c r="AP605" s="354"/>
      <c r="AQ605" s="354"/>
      <c r="AR605" s="354"/>
      <c r="AS605" s="354"/>
      <c r="AT605" s="354"/>
      <c r="AU605" s="354"/>
      <c r="AV605" s="354"/>
      <c r="AW605" s="354"/>
    </row>
    <row r="606" spans="1:49">
      <c r="A606" s="354"/>
      <c r="B606" s="354"/>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c r="AA606" s="354"/>
      <c r="AB606" s="354"/>
      <c r="AC606" s="354"/>
      <c r="AD606" s="354"/>
      <c r="AE606" s="354"/>
      <c r="AF606" s="354"/>
      <c r="AG606" s="354"/>
      <c r="AH606" s="354"/>
      <c r="AI606" s="354"/>
      <c r="AJ606" s="354"/>
      <c r="AK606" s="354"/>
      <c r="AL606" s="354"/>
      <c r="AM606" s="354"/>
      <c r="AN606" s="354"/>
      <c r="AO606" s="354"/>
      <c r="AP606" s="354"/>
      <c r="AQ606" s="354"/>
      <c r="AR606" s="354"/>
      <c r="AS606" s="354"/>
      <c r="AT606" s="354"/>
      <c r="AU606" s="354"/>
      <c r="AV606" s="354"/>
      <c r="AW606" s="354"/>
    </row>
    <row r="607" spans="1:49">
      <c r="A607" s="354"/>
      <c r="B607" s="354"/>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c r="AA607" s="354"/>
      <c r="AB607" s="354"/>
      <c r="AC607" s="354"/>
      <c r="AD607" s="354"/>
      <c r="AE607" s="354"/>
      <c r="AF607" s="354"/>
      <c r="AG607" s="354"/>
      <c r="AH607" s="354"/>
      <c r="AI607" s="354"/>
      <c r="AJ607" s="354"/>
      <c r="AK607" s="354"/>
      <c r="AL607" s="354"/>
      <c r="AM607" s="354"/>
      <c r="AN607" s="354"/>
      <c r="AO607" s="354"/>
      <c r="AP607" s="354"/>
      <c r="AQ607" s="354"/>
      <c r="AR607" s="354"/>
      <c r="AS607" s="354"/>
      <c r="AT607" s="354"/>
      <c r="AU607" s="354"/>
      <c r="AV607" s="354"/>
      <c r="AW607" s="354"/>
    </row>
    <row r="608" spans="1:49">
      <c r="A608" s="354"/>
      <c r="B608" s="354"/>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c r="AA608" s="354"/>
      <c r="AB608" s="354"/>
      <c r="AC608" s="354"/>
      <c r="AD608" s="354"/>
      <c r="AE608" s="354"/>
      <c r="AF608" s="354"/>
      <c r="AG608" s="354"/>
      <c r="AH608" s="354"/>
      <c r="AI608" s="354"/>
      <c r="AJ608" s="354"/>
      <c r="AK608" s="354"/>
      <c r="AL608" s="354"/>
      <c r="AM608" s="354"/>
      <c r="AN608" s="354"/>
      <c r="AO608" s="354"/>
      <c r="AP608" s="354"/>
      <c r="AQ608" s="354"/>
      <c r="AR608" s="354"/>
      <c r="AS608" s="354"/>
      <c r="AT608" s="354"/>
      <c r="AU608" s="354"/>
      <c r="AV608" s="354"/>
      <c r="AW608" s="354"/>
    </row>
    <row r="609" spans="1:49">
      <c r="A609" s="354"/>
      <c r="B609" s="354"/>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c r="AA609" s="354"/>
      <c r="AB609" s="354"/>
      <c r="AC609" s="354"/>
      <c r="AD609" s="354"/>
      <c r="AE609" s="354"/>
      <c r="AF609" s="354"/>
      <c r="AG609" s="354"/>
      <c r="AH609" s="354"/>
      <c r="AI609" s="354"/>
      <c r="AJ609" s="354"/>
      <c r="AK609" s="354"/>
      <c r="AL609" s="354"/>
      <c r="AM609" s="354"/>
      <c r="AN609" s="354"/>
      <c r="AO609" s="354"/>
      <c r="AP609" s="354"/>
      <c r="AQ609" s="354"/>
      <c r="AR609" s="354"/>
      <c r="AS609" s="354"/>
      <c r="AT609" s="354"/>
      <c r="AU609" s="354"/>
      <c r="AV609" s="354"/>
      <c r="AW609" s="354"/>
    </row>
    <row r="610" spans="1:49">
      <c r="A610" s="354"/>
      <c r="B610" s="354"/>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c r="AA610" s="354"/>
      <c r="AB610" s="354"/>
      <c r="AC610" s="354"/>
      <c r="AD610" s="354"/>
      <c r="AE610" s="354"/>
      <c r="AF610" s="354"/>
      <c r="AG610" s="354"/>
      <c r="AH610" s="354"/>
      <c r="AI610" s="354"/>
      <c r="AJ610" s="354"/>
      <c r="AK610" s="354"/>
      <c r="AL610" s="354"/>
      <c r="AM610" s="354"/>
      <c r="AN610" s="354"/>
      <c r="AO610" s="354"/>
      <c r="AP610" s="354"/>
      <c r="AQ610" s="354"/>
      <c r="AR610" s="354"/>
      <c r="AS610" s="354"/>
      <c r="AT610" s="354"/>
      <c r="AU610" s="354"/>
      <c r="AV610" s="354"/>
      <c r="AW610" s="354"/>
    </row>
    <row r="611" spans="1:49">
      <c r="A611" s="354"/>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54"/>
      <c r="AE611" s="354"/>
      <c r="AF611" s="354"/>
      <c r="AG611" s="354"/>
      <c r="AH611" s="354"/>
      <c r="AI611" s="354"/>
      <c r="AJ611" s="354"/>
      <c r="AK611" s="354"/>
      <c r="AL611" s="354"/>
      <c r="AM611" s="354"/>
      <c r="AN611" s="354"/>
      <c r="AO611" s="354"/>
      <c r="AP611" s="354"/>
      <c r="AQ611" s="354"/>
      <c r="AR611" s="354"/>
      <c r="AS611" s="354"/>
      <c r="AT611" s="354"/>
      <c r="AU611" s="354"/>
      <c r="AV611" s="354"/>
      <c r="AW611" s="354"/>
    </row>
    <row r="612" spans="1:49">
      <c r="A612" s="354"/>
      <c r="B612" s="35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row>
    <row r="613" spans="1:49">
      <c r="A613" s="354"/>
      <c r="B613" s="354"/>
      <c r="C613" s="354"/>
      <c r="D613" s="354"/>
      <c r="E613" s="354"/>
      <c r="F613" s="354"/>
      <c r="G613" s="354"/>
      <c r="H613" s="354"/>
      <c r="I613" s="354"/>
      <c r="J613" s="354"/>
      <c r="K613" s="354"/>
      <c r="L613" s="354"/>
      <c r="M613" s="354"/>
      <c r="N613" s="354"/>
      <c r="O613" s="354"/>
      <c r="P613" s="354"/>
      <c r="Q613" s="354"/>
      <c r="R613" s="354"/>
      <c r="S613" s="354"/>
      <c r="T613" s="354"/>
      <c r="U613" s="354"/>
      <c r="V613" s="354"/>
      <c r="W613" s="354"/>
      <c r="X613" s="354"/>
      <c r="Y613" s="354"/>
      <c r="Z613" s="354"/>
      <c r="AA613" s="354"/>
      <c r="AB613" s="354"/>
      <c r="AC613" s="354"/>
      <c r="AD613" s="354"/>
      <c r="AE613" s="354"/>
      <c r="AF613" s="354"/>
      <c r="AG613" s="354"/>
      <c r="AH613" s="354"/>
      <c r="AI613" s="354"/>
      <c r="AJ613" s="354"/>
      <c r="AK613" s="354"/>
      <c r="AL613" s="354"/>
      <c r="AM613" s="354"/>
      <c r="AN613" s="354"/>
      <c r="AO613" s="354"/>
      <c r="AP613" s="354"/>
      <c r="AQ613" s="354"/>
      <c r="AR613" s="354"/>
      <c r="AS613" s="354"/>
      <c r="AT613" s="354"/>
      <c r="AU613" s="354"/>
      <c r="AV613" s="354"/>
      <c r="AW613" s="354"/>
    </row>
    <row r="614" spans="1:49">
      <c r="A614" s="354"/>
      <c r="B614" s="354"/>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Y614" s="354"/>
      <c r="Z614" s="354"/>
      <c r="AA614" s="354"/>
      <c r="AB614" s="354"/>
      <c r="AC614" s="354"/>
      <c r="AD614" s="354"/>
      <c r="AE614" s="354"/>
      <c r="AF614" s="354"/>
      <c r="AG614" s="354"/>
      <c r="AH614" s="354"/>
      <c r="AI614" s="354"/>
      <c r="AJ614" s="354"/>
      <c r="AK614" s="354"/>
      <c r="AL614" s="354"/>
      <c r="AM614" s="354"/>
      <c r="AN614" s="354"/>
      <c r="AO614" s="354"/>
      <c r="AP614" s="354"/>
      <c r="AQ614" s="354"/>
      <c r="AR614" s="354"/>
      <c r="AS614" s="354"/>
      <c r="AT614" s="354"/>
      <c r="AU614" s="354"/>
      <c r="AV614" s="354"/>
      <c r="AW614" s="354"/>
    </row>
    <row r="615" spans="1:49">
      <c r="A615" s="354"/>
      <c r="B615" s="354"/>
      <c r="C615" s="354"/>
      <c r="D615" s="354"/>
      <c r="E615" s="354"/>
      <c r="F615" s="354"/>
      <c r="G615" s="354"/>
      <c r="H615" s="354"/>
      <c r="I615" s="354"/>
      <c r="J615" s="354"/>
      <c r="K615" s="354"/>
      <c r="L615" s="354"/>
      <c r="M615" s="354"/>
      <c r="N615" s="354"/>
      <c r="O615" s="354"/>
      <c r="P615" s="354"/>
      <c r="Q615" s="354"/>
      <c r="R615" s="354"/>
      <c r="S615" s="354"/>
      <c r="T615" s="354"/>
      <c r="U615" s="354"/>
      <c r="V615" s="354"/>
      <c r="W615" s="354"/>
      <c r="X615" s="354"/>
      <c r="Y615" s="354"/>
      <c r="Z615" s="354"/>
      <c r="AA615" s="354"/>
      <c r="AB615" s="354"/>
      <c r="AC615" s="354"/>
      <c r="AD615" s="354"/>
      <c r="AE615" s="354"/>
      <c r="AF615" s="354"/>
      <c r="AG615" s="354"/>
      <c r="AH615" s="354"/>
      <c r="AI615" s="354"/>
      <c r="AJ615" s="354"/>
      <c r="AK615" s="354"/>
      <c r="AL615" s="354"/>
      <c r="AM615" s="354"/>
      <c r="AN615" s="354"/>
      <c r="AO615" s="354"/>
      <c r="AP615" s="354"/>
      <c r="AQ615" s="354"/>
      <c r="AR615" s="354"/>
      <c r="AS615" s="354"/>
      <c r="AT615" s="354"/>
      <c r="AU615" s="354"/>
      <c r="AV615" s="354"/>
      <c r="AW615" s="354"/>
    </row>
    <row r="616" spans="1:49">
      <c r="A616" s="354"/>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c r="AA616" s="354"/>
      <c r="AB616" s="354"/>
      <c r="AC616" s="354"/>
      <c r="AD616" s="354"/>
      <c r="AE616" s="354"/>
      <c r="AF616" s="354"/>
      <c r="AG616" s="354"/>
      <c r="AH616" s="354"/>
      <c r="AI616" s="354"/>
      <c r="AJ616" s="354"/>
      <c r="AK616" s="354"/>
      <c r="AL616" s="354"/>
      <c r="AM616" s="354"/>
      <c r="AN616" s="354"/>
      <c r="AO616" s="354"/>
      <c r="AP616" s="354"/>
      <c r="AQ616" s="354"/>
      <c r="AR616" s="354"/>
      <c r="AS616" s="354"/>
      <c r="AT616" s="354"/>
      <c r="AU616" s="354"/>
      <c r="AV616" s="354"/>
      <c r="AW616" s="354"/>
    </row>
    <row r="617" spans="1:49">
      <c r="A617" s="354"/>
      <c r="B617" s="354"/>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c r="AA617" s="354"/>
      <c r="AB617" s="354"/>
      <c r="AC617" s="354"/>
      <c r="AD617" s="354"/>
      <c r="AE617" s="354"/>
      <c r="AF617" s="354"/>
      <c r="AG617" s="354"/>
      <c r="AH617" s="354"/>
      <c r="AI617" s="354"/>
      <c r="AJ617" s="354"/>
      <c r="AK617" s="354"/>
      <c r="AL617" s="354"/>
      <c r="AM617" s="354"/>
      <c r="AN617" s="354"/>
      <c r="AO617" s="354"/>
      <c r="AP617" s="354"/>
      <c r="AQ617" s="354"/>
      <c r="AR617" s="354"/>
      <c r="AS617" s="354"/>
      <c r="AT617" s="354"/>
      <c r="AU617" s="354"/>
      <c r="AV617" s="354"/>
      <c r="AW617" s="354"/>
    </row>
    <row r="618" spans="1:49">
      <c r="A618" s="354"/>
      <c r="B618" s="354"/>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c r="AA618" s="354"/>
      <c r="AB618" s="354"/>
      <c r="AC618" s="354"/>
      <c r="AD618" s="354"/>
      <c r="AE618" s="354"/>
      <c r="AF618" s="354"/>
      <c r="AG618" s="354"/>
      <c r="AH618" s="354"/>
      <c r="AI618" s="354"/>
      <c r="AJ618" s="354"/>
      <c r="AK618" s="354"/>
      <c r="AL618" s="354"/>
      <c r="AM618" s="354"/>
      <c r="AN618" s="354"/>
      <c r="AO618" s="354"/>
      <c r="AP618" s="354"/>
      <c r="AQ618" s="354"/>
      <c r="AR618" s="354"/>
      <c r="AS618" s="354"/>
      <c r="AT618" s="354"/>
      <c r="AU618" s="354"/>
      <c r="AV618" s="354"/>
      <c r="AW618" s="354"/>
    </row>
    <row r="619" spans="1:49">
      <c r="A619" s="354"/>
      <c r="B619" s="354"/>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c r="AA619" s="354"/>
      <c r="AB619" s="354"/>
      <c r="AC619" s="354"/>
      <c r="AD619" s="354"/>
      <c r="AE619" s="354"/>
      <c r="AF619" s="354"/>
      <c r="AG619" s="354"/>
      <c r="AH619" s="354"/>
      <c r="AI619" s="354"/>
      <c r="AJ619" s="354"/>
      <c r="AK619" s="354"/>
      <c r="AL619" s="354"/>
      <c r="AM619" s="354"/>
      <c r="AN619" s="354"/>
      <c r="AO619" s="354"/>
      <c r="AP619" s="354"/>
      <c r="AQ619" s="354"/>
      <c r="AR619" s="354"/>
      <c r="AS619" s="354"/>
      <c r="AT619" s="354"/>
      <c r="AU619" s="354"/>
      <c r="AV619" s="354"/>
      <c r="AW619" s="354"/>
    </row>
    <row r="620" spans="1:49">
      <c r="A620" s="354"/>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c r="AA620" s="354"/>
      <c r="AB620" s="354"/>
      <c r="AC620" s="354"/>
      <c r="AD620" s="354"/>
      <c r="AE620" s="354"/>
      <c r="AF620" s="354"/>
      <c r="AG620" s="354"/>
      <c r="AH620" s="354"/>
      <c r="AI620" s="354"/>
      <c r="AJ620" s="354"/>
      <c r="AK620" s="354"/>
      <c r="AL620" s="354"/>
      <c r="AM620" s="354"/>
      <c r="AN620" s="354"/>
      <c r="AO620" s="354"/>
      <c r="AP620" s="354"/>
      <c r="AQ620" s="354"/>
      <c r="AR620" s="354"/>
      <c r="AS620" s="354"/>
      <c r="AT620" s="354"/>
      <c r="AU620" s="354"/>
      <c r="AV620" s="354"/>
      <c r="AW620" s="354"/>
    </row>
    <row r="621" spans="1:49">
      <c r="A621" s="354"/>
      <c r="B621" s="354"/>
      <c r="C621" s="354"/>
      <c r="D621" s="354"/>
      <c r="E621" s="354"/>
      <c r="F621" s="354"/>
      <c r="G621" s="354"/>
      <c r="H621" s="354"/>
      <c r="I621" s="354"/>
      <c r="J621" s="354"/>
      <c r="K621" s="354"/>
      <c r="L621" s="354"/>
      <c r="M621" s="354"/>
      <c r="N621" s="354"/>
      <c r="O621" s="354"/>
      <c r="P621" s="354"/>
      <c r="Q621" s="354"/>
      <c r="R621" s="354"/>
      <c r="S621" s="354"/>
      <c r="T621" s="354"/>
      <c r="U621" s="354"/>
      <c r="V621" s="354"/>
      <c r="W621" s="354"/>
      <c r="X621" s="354"/>
      <c r="Y621" s="354"/>
      <c r="Z621" s="354"/>
      <c r="AA621" s="354"/>
      <c r="AB621" s="354"/>
      <c r="AC621" s="354"/>
      <c r="AD621" s="354"/>
      <c r="AE621" s="354"/>
      <c r="AF621" s="354"/>
      <c r="AG621" s="354"/>
      <c r="AH621" s="354"/>
      <c r="AI621" s="354"/>
      <c r="AJ621" s="354"/>
      <c r="AK621" s="354"/>
      <c r="AL621" s="354"/>
      <c r="AM621" s="354"/>
      <c r="AN621" s="354"/>
      <c r="AO621" s="354"/>
      <c r="AP621" s="354"/>
      <c r="AQ621" s="354"/>
      <c r="AR621" s="354"/>
      <c r="AS621" s="354"/>
      <c r="AT621" s="354"/>
      <c r="AU621" s="354"/>
      <c r="AV621" s="354"/>
      <c r="AW621" s="354"/>
    </row>
    <row r="622" spans="1:49">
      <c r="A622" s="354"/>
      <c r="B622" s="35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row>
    <row r="623" spans="1:49">
      <c r="A623" s="354"/>
      <c r="B623" s="354"/>
      <c r="C623" s="354"/>
      <c r="D623" s="354"/>
      <c r="E623" s="354"/>
      <c r="F623" s="354"/>
      <c r="G623" s="354"/>
      <c r="H623" s="354"/>
      <c r="I623" s="354"/>
      <c r="J623" s="354"/>
      <c r="K623" s="354"/>
      <c r="L623" s="354"/>
      <c r="M623" s="354"/>
      <c r="N623" s="354"/>
      <c r="O623" s="354"/>
      <c r="P623" s="354"/>
      <c r="Q623" s="354"/>
      <c r="R623" s="354"/>
      <c r="S623" s="354"/>
      <c r="T623" s="354"/>
      <c r="U623" s="354"/>
      <c r="V623" s="354"/>
      <c r="W623" s="354"/>
      <c r="X623" s="354"/>
      <c r="Y623" s="354"/>
      <c r="Z623" s="354"/>
      <c r="AA623" s="354"/>
      <c r="AB623" s="354"/>
      <c r="AC623" s="354"/>
      <c r="AD623" s="354"/>
      <c r="AE623" s="354"/>
      <c r="AF623" s="354"/>
      <c r="AG623" s="354"/>
      <c r="AH623" s="354"/>
      <c r="AI623" s="354"/>
      <c r="AJ623" s="354"/>
      <c r="AK623" s="354"/>
      <c r="AL623" s="354"/>
      <c r="AM623" s="354"/>
      <c r="AN623" s="354"/>
      <c r="AO623" s="354"/>
      <c r="AP623" s="354"/>
      <c r="AQ623" s="354"/>
      <c r="AR623" s="354"/>
      <c r="AS623" s="354"/>
      <c r="AT623" s="354"/>
      <c r="AU623" s="354"/>
      <c r="AV623" s="354"/>
      <c r="AW623" s="354"/>
    </row>
    <row r="624" spans="1:49">
      <c r="A624" s="354"/>
      <c r="B624" s="354"/>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Y624" s="354"/>
      <c r="Z624" s="354"/>
      <c r="AA624" s="354"/>
      <c r="AB624" s="354"/>
      <c r="AC624" s="354"/>
      <c r="AD624" s="354"/>
      <c r="AE624" s="354"/>
      <c r="AF624" s="354"/>
      <c r="AG624" s="354"/>
      <c r="AH624" s="354"/>
      <c r="AI624" s="354"/>
      <c r="AJ624" s="354"/>
      <c r="AK624" s="354"/>
      <c r="AL624" s="354"/>
      <c r="AM624" s="354"/>
      <c r="AN624" s="354"/>
      <c r="AO624" s="354"/>
      <c r="AP624" s="354"/>
      <c r="AQ624" s="354"/>
      <c r="AR624" s="354"/>
      <c r="AS624" s="354"/>
      <c r="AT624" s="354"/>
      <c r="AU624" s="354"/>
      <c r="AV624" s="354"/>
      <c r="AW624" s="354"/>
    </row>
    <row r="625" spans="1:49">
      <c r="A625" s="354"/>
      <c r="B625" s="354"/>
      <c r="C625" s="354"/>
      <c r="D625" s="354"/>
      <c r="E625" s="354"/>
      <c r="F625" s="354"/>
      <c r="G625" s="354"/>
      <c r="H625" s="354"/>
      <c r="I625" s="354"/>
      <c r="J625" s="354"/>
      <c r="K625" s="354"/>
      <c r="L625" s="354"/>
      <c r="M625" s="354"/>
      <c r="N625" s="354"/>
      <c r="O625" s="354"/>
      <c r="P625" s="354"/>
      <c r="Q625" s="354"/>
      <c r="R625" s="354"/>
      <c r="S625" s="354"/>
      <c r="T625" s="354"/>
      <c r="U625" s="354"/>
      <c r="V625" s="354"/>
      <c r="W625" s="354"/>
      <c r="X625" s="354"/>
      <c r="Y625" s="354"/>
      <c r="Z625" s="354"/>
      <c r="AA625" s="354"/>
      <c r="AB625" s="354"/>
      <c r="AC625" s="354"/>
      <c r="AD625" s="354"/>
      <c r="AE625" s="354"/>
      <c r="AF625" s="354"/>
      <c r="AG625" s="354"/>
      <c r="AH625" s="354"/>
      <c r="AI625" s="354"/>
      <c r="AJ625" s="354"/>
      <c r="AK625" s="354"/>
      <c r="AL625" s="354"/>
      <c r="AM625" s="354"/>
      <c r="AN625" s="354"/>
      <c r="AO625" s="354"/>
      <c r="AP625" s="354"/>
      <c r="AQ625" s="354"/>
      <c r="AR625" s="354"/>
      <c r="AS625" s="354"/>
      <c r="AT625" s="354"/>
      <c r="AU625" s="354"/>
      <c r="AV625" s="354"/>
      <c r="AW625" s="354"/>
    </row>
    <row r="626" spans="1:49">
      <c r="A626" s="354"/>
      <c r="B626" s="35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row>
    <row r="627" spans="1:49">
      <c r="A627" s="354"/>
      <c r="B627" s="354"/>
      <c r="C627" s="354"/>
      <c r="D627" s="354"/>
      <c r="E627" s="354"/>
      <c r="F627" s="354"/>
      <c r="G627" s="354"/>
      <c r="H627" s="354"/>
      <c r="I627" s="354"/>
      <c r="J627" s="354"/>
      <c r="K627" s="354"/>
      <c r="L627" s="354"/>
      <c r="M627" s="354"/>
      <c r="N627" s="354"/>
      <c r="O627" s="354"/>
      <c r="P627" s="354"/>
      <c r="Q627" s="354"/>
      <c r="R627" s="354"/>
      <c r="S627" s="354"/>
      <c r="T627" s="354"/>
      <c r="U627" s="354"/>
      <c r="V627" s="354"/>
      <c r="W627" s="354"/>
      <c r="X627" s="354"/>
      <c r="Y627" s="354"/>
      <c r="Z627" s="354"/>
      <c r="AA627" s="354"/>
      <c r="AB627" s="354"/>
      <c r="AC627" s="354"/>
      <c r="AD627" s="354"/>
      <c r="AE627" s="354"/>
      <c r="AF627" s="354"/>
      <c r="AG627" s="354"/>
      <c r="AH627" s="354"/>
      <c r="AI627" s="354"/>
      <c r="AJ627" s="354"/>
      <c r="AK627" s="354"/>
      <c r="AL627" s="354"/>
      <c r="AM627" s="354"/>
      <c r="AN627" s="354"/>
      <c r="AO627" s="354"/>
      <c r="AP627" s="354"/>
      <c r="AQ627" s="354"/>
      <c r="AR627" s="354"/>
      <c r="AS627" s="354"/>
      <c r="AT627" s="354"/>
      <c r="AU627" s="354"/>
      <c r="AV627" s="354"/>
      <c r="AW627" s="354"/>
    </row>
    <row r="628" spans="1:49">
      <c r="A628" s="354"/>
      <c r="B628" s="354"/>
      <c r="C628" s="354"/>
      <c r="D628" s="354"/>
      <c r="E628" s="354"/>
      <c r="F628" s="354"/>
      <c r="G628" s="354"/>
      <c r="H628" s="354"/>
      <c r="I628" s="354"/>
      <c r="J628" s="354"/>
      <c r="K628" s="354"/>
      <c r="L628" s="354"/>
      <c r="M628" s="354"/>
      <c r="N628" s="354"/>
      <c r="O628" s="354"/>
      <c r="P628" s="354"/>
      <c r="Q628" s="354"/>
      <c r="R628" s="354"/>
      <c r="S628" s="354"/>
      <c r="T628" s="354"/>
      <c r="U628" s="354"/>
      <c r="V628" s="354"/>
      <c r="W628" s="354"/>
      <c r="X628" s="354"/>
      <c r="Y628" s="354"/>
      <c r="Z628" s="354"/>
      <c r="AA628" s="354"/>
      <c r="AB628" s="354"/>
      <c r="AC628" s="354"/>
      <c r="AD628" s="354"/>
      <c r="AE628" s="354"/>
      <c r="AF628" s="354"/>
      <c r="AG628" s="354"/>
      <c r="AH628" s="354"/>
      <c r="AI628" s="354"/>
      <c r="AJ628" s="354"/>
      <c r="AK628" s="354"/>
      <c r="AL628" s="354"/>
      <c r="AM628" s="354"/>
      <c r="AN628" s="354"/>
      <c r="AO628" s="354"/>
      <c r="AP628" s="354"/>
      <c r="AQ628" s="354"/>
      <c r="AR628" s="354"/>
      <c r="AS628" s="354"/>
      <c r="AT628" s="354"/>
      <c r="AU628" s="354"/>
      <c r="AV628" s="354"/>
      <c r="AW628" s="354"/>
    </row>
    <row r="629" spans="1:49">
      <c r="A629" s="354"/>
      <c r="B629" s="354"/>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c r="AA629" s="354"/>
      <c r="AB629" s="354"/>
      <c r="AC629" s="354"/>
      <c r="AD629" s="354"/>
      <c r="AE629" s="354"/>
      <c r="AF629" s="354"/>
      <c r="AG629" s="354"/>
      <c r="AH629" s="354"/>
      <c r="AI629" s="354"/>
      <c r="AJ629" s="354"/>
      <c r="AK629" s="354"/>
      <c r="AL629" s="354"/>
      <c r="AM629" s="354"/>
      <c r="AN629" s="354"/>
      <c r="AO629" s="354"/>
      <c r="AP629" s="354"/>
      <c r="AQ629" s="354"/>
      <c r="AR629" s="354"/>
      <c r="AS629" s="354"/>
      <c r="AT629" s="354"/>
      <c r="AU629" s="354"/>
      <c r="AV629" s="354"/>
      <c r="AW629" s="354"/>
    </row>
    <row r="630" spans="1:49">
      <c r="A630" s="354"/>
      <c r="B630" s="354"/>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c r="AA630" s="354"/>
      <c r="AB630" s="354"/>
      <c r="AC630" s="354"/>
      <c r="AD630" s="354"/>
      <c r="AE630" s="354"/>
      <c r="AF630" s="354"/>
      <c r="AG630" s="354"/>
      <c r="AH630" s="354"/>
      <c r="AI630" s="354"/>
      <c r="AJ630" s="354"/>
      <c r="AK630" s="354"/>
      <c r="AL630" s="354"/>
      <c r="AM630" s="354"/>
      <c r="AN630" s="354"/>
      <c r="AO630" s="354"/>
      <c r="AP630" s="354"/>
      <c r="AQ630" s="354"/>
      <c r="AR630" s="354"/>
      <c r="AS630" s="354"/>
      <c r="AT630" s="354"/>
      <c r="AU630" s="354"/>
      <c r="AV630" s="354"/>
      <c r="AW630" s="354"/>
    </row>
    <row r="631" spans="1:49">
      <c r="A631" s="354"/>
      <c r="B631" s="354"/>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c r="AA631" s="354"/>
      <c r="AB631" s="354"/>
      <c r="AC631" s="354"/>
      <c r="AD631" s="354"/>
      <c r="AE631" s="354"/>
      <c r="AF631" s="354"/>
      <c r="AG631" s="354"/>
      <c r="AH631" s="354"/>
      <c r="AI631" s="354"/>
      <c r="AJ631" s="354"/>
      <c r="AK631" s="354"/>
      <c r="AL631" s="354"/>
      <c r="AM631" s="354"/>
      <c r="AN631" s="354"/>
      <c r="AO631" s="354"/>
      <c r="AP631" s="354"/>
      <c r="AQ631" s="354"/>
      <c r="AR631" s="354"/>
      <c r="AS631" s="354"/>
      <c r="AT631" s="354"/>
      <c r="AU631" s="354"/>
      <c r="AV631" s="354"/>
      <c r="AW631" s="354"/>
    </row>
    <row r="632" spans="1:49">
      <c r="A632" s="354"/>
      <c r="B632" s="354"/>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c r="AA632" s="354"/>
      <c r="AB632" s="354"/>
      <c r="AC632" s="354"/>
      <c r="AD632" s="354"/>
      <c r="AE632" s="354"/>
      <c r="AF632" s="354"/>
      <c r="AG632" s="354"/>
      <c r="AH632" s="354"/>
      <c r="AI632" s="354"/>
      <c r="AJ632" s="354"/>
      <c r="AK632" s="354"/>
      <c r="AL632" s="354"/>
      <c r="AM632" s="354"/>
      <c r="AN632" s="354"/>
      <c r="AO632" s="354"/>
      <c r="AP632" s="354"/>
      <c r="AQ632" s="354"/>
      <c r="AR632" s="354"/>
      <c r="AS632" s="354"/>
      <c r="AT632" s="354"/>
      <c r="AU632" s="354"/>
      <c r="AV632" s="354"/>
      <c r="AW632" s="354"/>
    </row>
    <row r="633" spans="1:49">
      <c r="A633" s="354"/>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54"/>
      <c r="AE633" s="354"/>
      <c r="AF633" s="354"/>
      <c r="AG633" s="354"/>
      <c r="AH633" s="354"/>
      <c r="AI633" s="354"/>
      <c r="AJ633" s="354"/>
      <c r="AK633" s="354"/>
      <c r="AL633" s="354"/>
      <c r="AM633" s="354"/>
      <c r="AN633" s="354"/>
      <c r="AO633" s="354"/>
      <c r="AP633" s="354"/>
      <c r="AQ633" s="354"/>
      <c r="AR633" s="354"/>
      <c r="AS633" s="354"/>
      <c r="AT633" s="354"/>
      <c r="AU633" s="354"/>
      <c r="AV633" s="354"/>
      <c r="AW633" s="354"/>
    </row>
    <row r="634" spans="1:49">
      <c r="A634" s="354"/>
      <c r="B634" s="354"/>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c r="AA634" s="354"/>
      <c r="AB634" s="354"/>
      <c r="AC634" s="354"/>
      <c r="AD634" s="354"/>
      <c r="AE634" s="354"/>
      <c r="AF634" s="354"/>
      <c r="AG634" s="354"/>
      <c r="AH634" s="354"/>
      <c r="AI634" s="354"/>
      <c r="AJ634" s="354"/>
      <c r="AK634" s="354"/>
      <c r="AL634" s="354"/>
      <c r="AM634" s="354"/>
      <c r="AN634" s="354"/>
      <c r="AO634" s="354"/>
      <c r="AP634" s="354"/>
      <c r="AQ634" s="354"/>
      <c r="AR634" s="354"/>
      <c r="AS634" s="354"/>
      <c r="AT634" s="354"/>
      <c r="AU634" s="354"/>
      <c r="AV634" s="354"/>
      <c r="AW634" s="354"/>
    </row>
    <row r="635" spans="1:49">
      <c r="A635" s="354"/>
      <c r="B635" s="354"/>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c r="AA635" s="354"/>
      <c r="AB635" s="354"/>
      <c r="AC635" s="354"/>
      <c r="AD635" s="354"/>
      <c r="AE635" s="354"/>
      <c r="AF635" s="354"/>
      <c r="AG635" s="354"/>
      <c r="AH635" s="354"/>
      <c r="AI635" s="354"/>
      <c r="AJ635" s="354"/>
      <c r="AK635" s="354"/>
      <c r="AL635" s="354"/>
      <c r="AM635" s="354"/>
      <c r="AN635" s="354"/>
      <c r="AO635" s="354"/>
      <c r="AP635" s="354"/>
      <c r="AQ635" s="354"/>
      <c r="AR635" s="354"/>
      <c r="AS635" s="354"/>
      <c r="AT635" s="354"/>
      <c r="AU635" s="354"/>
      <c r="AV635" s="354"/>
      <c r="AW635" s="354"/>
    </row>
    <row r="636" spans="1:49">
      <c r="A636" s="354"/>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c r="AA636" s="354"/>
      <c r="AB636" s="354"/>
      <c r="AC636" s="354"/>
      <c r="AD636" s="354"/>
      <c r="AE636" s="354"/>
      <c r="AF636" s="354"/>
      <c r="AG636" s="354"/>
      <c r="AH636" s="354"/>
      <c r="AI636" s="354"/>
      <c r="AJ636" s="354"/>
      <c r="AK636" s="354"/>
      <c r="AL636" s="354"/>
      <c r="AM636" s="354"/>
      <c r="AN636" s="354"/>
      <c r="AO636" s="354"/>
      <c r="AP636" s="354"/>
      <c r="AQ636" s="354"/>
      <c r="AR636" s="354"/>
      <c r="AS636" s="354"/>
      <c r="AT636" s="354"/>
      <c r="AU636" s="354"/>
      <c r="AV636" s="354"/>
      <c r="AW636" s="354"/>
    </row>
    <row r="637" spans="1:49">
      <c r="A637" s="354"/>
      <c r="B637" s="354"/>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c r="AA637" s="354"/>
      <c r="AB637" s="354"/>
      <c r="AC637" s="354"/>
      <c r="AD637" s="354"/>
      <c r="AE637" s="354"/>
      <c r="AF637" s="354"/>
      <c r="AG637" s="354"/>
      <c r="AH637" s="354"/>
      <c r="AI637" s="354"/>
      <c r="AJ637" s="354"/>
      <c r="AK637" s="354"/>
      <c r="AL637" s="354"/>
      <c r="AM637" s="354"/>
      <c r="AN637" s="354"/>
      <c r="AO637" s="354"/>
      <c r="AP637" s="354"/>
      <c r="AQ637" s="354"/>
      <c r="AR637" s="354"/>
      <c r="AS637" s="354"/>
      <c r="AT637" s="354"/>
      <c r="AU637" s="354"/>
      <c r="AV637" s="354"/>
      <c r="AW637" s="354"/>
    </row>
    <row r="638" spans="1:49">
      <c r="A638" s="354"/>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row>
    <row r="639" spans="1:49">
      <c r="A639" s="354"/>
      <c r="B639" s="354"/>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c r="AA639" s="354"/>
      <c r="AB639" s="354"/>
      <c r="AC639" s="354"/>
      <c r="AD639" s="354"/>
      <c r="AE639" s="354"/>
      <c r="AF639" s="354"/>
      <c r="AG639" s="354"/>
      <c r="AH639" s="354"/>
      <c r="AI639" s="354"/>
      <c r="AJ639" s="354"/>
      <c r="AK639" s="354"/>
      <c r="AL639" s="354"/>
      <c r="AM639" s="354"/>
      <c r="AN639" s="354"/>
      <c r="AO639" s="354"/>
      <c r="AP639" s="354"/>
      <c r="AQ639" s="354"/>
      <c r="AR639" s="354"/>
      <c r="AS639" s="354"/>
      <c r="AT639" s="354"/>
      <c r="AU639" s="354"/>
      <c r="AV639" s="354"/>
      <c r="AW639" s="354"/>
    </row>
    <row r="640" spans="1:49">
      <c r="A640" s="354"/>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c r="AA640" s="354"/>
      <c r="AB640" s="354"/>
      <c r="AC640" s="354"/>
      <c r="AD640" s="354"/>
      <c r="AE640" s="354"/>
      <c r="AF640" s="354"/>
      <c r="AG640" s="354"/>
      <c r="AH640" s="354"/>
      <c r="AI640" s="354"/>
      <c r="AJ640" s="354"/>
      <c r="AK640" s="354"/>
      <c r="AL640" s="354"/>
      <c r="AM640" s="354"/>
      <c r="AN640" s="354"/>
      <c r="AO640" s="354"/>
      <c r="AP640" s="354"/>
      <c r="AQ640" s="354"/>
      <c r="AR640" s="354"/>
      <c r="AS640" s="354"/>
      <c r="AT640" s="354"/>
      <c r="AU640" s="354"/>
      <c r="AV640" s="354"/>
      <c r="AW640" s="354"/>
    </row>
    <row r="641" spans="1:49">
      <c r="A641" s="354"/>
      <c r="B641" s="354"/>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54"/>
      <c r="AE641" s="354"/>
      <c r="AF641" s="354"/>
      <c r="AG641" s="354"/>
      <c r="AH641" s="354"/>
      <c r="AI641" s="354"/>
      <c r="AJ641" s="354"/>
      <c r="AK641" s="354"/>
      <c r="AL641" s="354"/>
      <c r="AM641" s="354"/>
      <c r="AN641" s="354"/>
      <c r="AO641" s="354"/>
      <c r="AP641" s="354"/>
      <c r="AQ641" s="354"/>
      <c r="AR641" s="354"/>
      <c r="AS641" s="354"/>
      <c r="AT641" s="354"/>
      <c r="AU641" s="354"/>
      <c r="AV641" s="354"/>
      <c r="AW641" s="354"/>
    </row>
    <row r="642" spans="1:49">
      <c r="A642" s="354"/>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c r="AA642" s="354"/>
      <c r="AB642" s="354"/>
      <c r="AC642" s="354"/>
      <c r="AD642" s="354"/>
      <c r="AE642" s="354"/>
      <c r="AF642" s="354"/>
      <c r="AG642" s="354"/>
      <c r="AH642" s="354"/>
      <c r="AI642" s="354"/>
      <c r="AJ642" s="354"/>
      <c r="AK642" s="354"/>
      <c r="AL642" s="354"/>
      <c r="AM642" s="354"/>
      <c r="AN642" s="354"/>
      <c r="AO642" s="354"/>
      <c r="AP642" s="354"/>
      <c r="AQ642" s="354"/>
      <c r="AR642" s="354"/>
      <c r="AS642" s="354"/>
      <c r="AT642" s="354"/>
      <c r="AU642" s="354"/>
      <c r="AV642" s="354"/>
      <c r="AW642" s="354"/>
    </row>
    <row r="643" spans="1:49">
      <c r="A643" s="354"/>
      <c r="B643" s="354"/>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c r="AA643" s="354"/>
      <c r="AB643" s="354"/>
      <c r="AC643" s="354"/>
      <c r="AD643" s="354"/>
      <c r="AE643" s="354"/>
      <c r="AF643" s="354"/>
      <c r="AG643" s="354"/>
      <c r="AH643" s="354"/>
      <c r="AI643" s="354"/>
      <c r="AJ643" s="354"/>
      <c r="AK643" s="354"/>
      <c r="AL643" s="354"/>
      <c r="AM643" s="354"/>
      <c r="AN643" s="354"/>
      <c r="AO643" s="354"/>
      <c r="AP643" s="354"/>
      <c r="AQ643" s="354"/>
      <c r="AR643" s="354"/>
      <c r="AS643" s="354"/>
      <c r="AT643" s="354"/>
      <c r="AU643" s="354"/>
      <c r="AV643" s="354"/>
      <c r="AW643" s="354"/>
    </row>
    <row r="644" spans="1:49">
      <c r="A644" s="354"/>
      <c r="B644" s="354"/>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c r="AA644" s="354"/>
      <c r="AB644" s="354"/>
      <c r="AC644" s="354"/>
      <c r="AD644" s="354"/>
      <c r="AE644" s="354"/>
      <c r="AF644" s="354"/>
      <c r="AG644" s="354"/>
      <c r="AH644" s="354"/>
      <c r="AI644" s="354"/>
      <c r="AJ644" s="354"/>
      <c r="AK644" s="354"/>
      <c r="AL644" s="354"/>
      <c r="AM644" s="354"/>
      <c r="AN644" s="354"/>
      <c r="AO644" s="354"/>
      <c r="AP644" s="354"/>
      <c r="AQ644" s="354"/>
      <c r="AR644" s="354"/>
      <c r="AS644" s="354"/>
      <c r="AT644" s="354"/>
      <c r="AU644" s="354"/>
      <c r="AV644" s="354"/>
      <c r="AW644" s="354"/>
    </row>
    <row r="645" spans="1:49">
      <c r="A645" s="354"/>
      <c r="B645" s="354"/>
      <c r="C645" s="354"/>
      <c r="D645" s="354"/>
      <c r="E645" s="354"/>
      <c r="F645" s="354"/>
      <c r="G645" s="354"/>
      <c r="H645" s="354"/>
      <c r="I645" s="354"/>
      <c r="J645" s="354"/>
      <c r="K645" s="354"/>
      <c r="L645" s="354"/>
      <c r="M645" s="354"/>
      <c r="N645" s="354"/>
      <c r="O645" s="354"/>
      <c r="P645" s="354"/>
      <c r="Q645" s="354"/>
      <c r="R645" s="354"/>
      <c r="S645" s="354"/>
      <c r="T645" s="354"/>
      <c r="U645" s="354"/>
      <c r="V645" s="354"/>
      <c r="W645" s="354"/>
      <c r="X645" s="354"/>
      <c r="Y645" s="354"/>
      <c r="Z645" s="354"/>
      <c r="AA645" s="354"/>
      <c r="AB645" s="354"/>
      <c r="AC645" s="354"/>
      <c r="AD645" s="354"/>
      <c r="AE645" s="354"/>
      <c r="AF645" s="354"/>
      <c r="AG645" s="354"/>
      <c r="AH645" s="354"/>
      <c r="AI645" s="354"/>
      <c r="AJ645" s="354"/>
      <c r="AK645" s="354"/>
      <c r="AL645" s="354"/>
      <c r="AM645" s="354"/>
      <c r="AN645" s="354"/>
      <c r="AO645" s="354"/>
      <c r="AP645" s="354"/>
      <c r="AQ645" s="354"/>
      <c r="AR645" s="354"/>
      <c r="AS645" s="354"/>
      <c r="AT645" s="354"/>
      <c r="AU645" s="354"/>
      <c r="AV645" s="354"/>
      <c r="AW645" s="354"/>
    </row>
    <row r="646" spans="1:49">
      <c r="A646" s="354"/>
      <c r="B646" s="354"/>
      <c r="C646" s="354"/>
      <c r="D646" s="354"/>
      <c r="E646" s="354"/>
      <c r="F646" s="354"/>
      <c r="G646" s="354"/>
      <c r="H646" s="354"/>
      <c r="I646" s="354"/>
      <c r="J646" s="354"/>
      <c r="K646" s="354"/>
      <c r="L646" s="354"/>
      <c r="M646" s="354"/>
      <c r="N646" s="354"/>
      <c r="O646" s="354"/>
      <c r="P646" s="354"/>
      <c r="Q646" s="354"/>
      <c r="R646" s="354"/>
      <c r="S646" s="354"/>
      <c r="T646" s="354"/>
      <c r="U646" s="354"/>
      <c r="V646" s="354"/>
      <c r="W646" s="354"/>
      <c r="X646" s="354"/>
      <c r="Y646" s="354"/>
      <c r="Z646" s="354"/>
      <c r="AA646" s="354"/>
      <c r="AB646" s="354"/>
      <c r="AC646" s="354"/>
      <c r="AD646" s="354"/>
      <c r="AE646" s="354"/>
      <c r="AF646" s="354"/>
      <c r="AG646" s="354"/>
      <c r="AH646" s="354"/>
      <c r="AI646" s="354"/>
      <c r="AJ646" s="354"/>
      <c r="AK646" s="354"/>
      <c r="AL646" s="354"/>
      <c r="AM646" s="354"/>
      <c r="AN646" s="354"/>
      <c r="AO646" s="354"/>
      <c r="AP646" s="354"/>
      <c r="AQ646" s="354"/>
      <c r="AR646" s="354"/>
      <c r="AS646" s="354"/>
      <c r="AT646" s="354"/>
      <c r="AU646" s="354"/>
      <c r="AV646" s="354"/>
      <c r="AW646" s="354"/>
    </row>
    <row r="647" spans="1:49">
      <c r="A647" s="354"/>
      <c r="B647" s="354"/>
      <c r="C647" s="354"/>
      <c r="D647" s="354"/>
      <c r="E647" s="354"/>
      <c r="F647" s="354"/>
      <c r="G647" s="354"/>
      <c r="H647" s="354"/>
      <c r="I647" s="354"/>
      <c r="J647" s="354"/>
      <c r="K647" s="354"/>
      <c r="L647" s="354"/>
      <c r="M647" s="354"/>
      <c r="N647" s="354"/>
      <c r="O647" s="354"/>
      <c r="P647" s="354"/>
      <c r="Q647" s="354"/>
      <c r="R647" s="354"/>
      <c r="S647" s="354"/>
      <c r="T647" s="354"/>
      <c r="U647" s="354"/>
      <c r="V647" s="354"/>
      <c r="W647" s="354"/>
      <c r="X647" s="354"/>
      <c r="Y647" s="354"/>
      <c r="Z647" s="354"/>
      <c r="AA647" s="354"/>
      <c r="AB647" s="354"/>
      <c r="AC647" s="354"/>
      <c r="AD647" s="354"/>
      <c r="AE647" s="354"/>
      <c r="AF647" s="354"/>
      <c r="AG647" s="354"/>
      <c r="AH647" s="354"/>
      <c r="AI647" s="354"/>
      <c r="AJ647" s="354"/>
      <c r="AK647" s="354"/>
      <c r="AL647" s="354"/>
      <c r="AM647" s="354"/>
      <c r="AN647" s="354"/>
      <c r="AO647" s="354"/>
      <c r="AP647" s="354"/>
      <c r="AQ647" s="354"/>
      <c r="AR647" s="354"/>
      <c r="AS647" s="354"/>
      <c r="AT647" s="354"/>
      <c r="AU647" s="354"/>
      <c r="AV647" s="354"/>
      <c r="AW647" s="354"/>
    </row>
    <row r="648" spans="1:49">
      <c r="A648" s="354"/>
      <c r="B648" s="354"/>
      <c r="C648" s="354"/>
      <c r="D648" s="354"/>
      <c r="E648" s="354"/>
      <c r="F648" s="354"/>
      <c r="G648" s="354"/>
      <c r="H648" s="354"/>
      <c r="I648" s="354"/>
      <c r="J648" s="354"/>
      <c r="K648" s="354"/>
      <c r="L648" s="354"/>
      <c r="M648" s="354"/>
      <c r="N648" s="354"/>
      <c r="O648" s="354"/>
      <c r="P648" s="354"/>
      <c r="Q648" s="354"/>
      <c r="R648" s="354"/>
      <c r="S648" s="354"/>
      <c r="T648" s="354"/>
      <c r="U648" s="354"/>
      <c r="V648" s="354"/>
      <c r="W648" s="354"/>
      <c r="X648" s="354"/>
      <c r="Y648" s="354"/>
      <c r="Z648" s="354"/>
      <c r="AA648" s="354"/>
      <c r="AB648" s="354"/>
      <c r="AC648" s="354"/>
      <c r="AD648" s="354"/>
      <c r="AE648" s="354"/>
      <c r="AF648" s="354"/>
      <c r="AG648" s="354"/>
      <c r="AH648" s="354"/>
      <c r="AI648" s="354"/>
      <c r="AJ648" s="354"/>
      <c r="AK648" s="354"/>
      <c r="AL648" s="354"/>
      <c r="AM648" s="354"/>
      <c r="AN648" s="354"/>
      <c r="AO648" s="354"/>
      <c r="AP648" s="354"/>
      <c r="AQ648" s="354"/>
      <c r="AR648" s="354"/>
      <c r="AS648" s="354"/>
      <c r="AT648" s="354"/>
      <c r="AU648" s="354"/>
      <c r="AV648" s="354"/>
      <c r="AW648" s="354"/>
    </row>
    <row r="649" spans="1:49">
      <c r="A649" s="354"/>
      <c r="B649" s="354"/>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c r="AA649" s="354"/>
      <c r="AB649" s="354"/>
      <c r="AC649" s="354"/>
      <c r="AD649" s="354"/>
      <c r="AE649" s="354"/>
      <c r="AF649" s="354"/>
      <c r="AG649" s="354"/>
      <c r="AH649" s="354"/>
      <c r="AI649" s="354"/>
      <c r="AJ649" s="354"/>
      <c r="AK649" s="354"/>
      <c r="AL649" s="354"/>
      <c r="AM649" s="354"/>
      <c r="AN649" s="354"/>
      <c r="AO649" s="354"/>
      <c r="AP649" s="354"/>
      <c r="AQ649" s="354"/>
      <c r="AR649" s="354"/>
      <c r="AS649" s="354"/>
      <c r="AT649" s="354"/>
      <c r="AU649" s="354"/>
      <c r="AV649" s="354"/>
      <c r="AW649" s="354"/>
    </row>
    <row r="650" spans="1:49">
      <c r="A650" s="354"/>
      <c r="B650" s="354"/>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c r="AA650" s="354"/>
      <c r="AB650" s="354"/>
      <c r="AC650" s="354"/>
      <c r="AD650" s="354"/>
      <c r="AE650" s="354"/>
      <c r="AF650" s="354"/>
      <c r="AG650" s="354"/>
      <c r="AH650" s="354"/>
      <c r="AI650" s="354"/>
      <c r="AJ650" s="354"/>
      <c r="AK650" s="354"/>
      <c r="AL650" s="354"/>
      <c r="AM650" s="354"/>
      <c r="AN650" s="354"/>
      <c r="AO650" s="354"/>
      <c r="AP650" s="354"/>
      <c r="AQ650" s="354"/>
      <c r="AR650" s="354"/>
      <c r="AS650" s="354"/>
      <c r="AT650" s="354"/>
      <c r="AU650" s="354"/>
      <c r="AV650" s="354"/>
      <c r="AW650" s="354"/>
    </row>
    <row r="651" spans="1:49">
      <c r="A651" s="354"/>
      <c r="B651" s="354"/>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c r="AA651" s="354"/>
      <c r="AB651" s="354"/>
      <c r="AC651" s="354"/>
      <c r="AD651" s="354"/>
      <c r="AE651" s="354"/>
      <c r="AF651" s="354"/>
      <c r="AG651" s="354"/>
      <c r="AH651" s="354"/>
      <c r="AI651" s="354"/>
      <c r="AJ651" s="354"/>
      <c r="AK651" s="354"/>
      <c r="AL651" s="354"/>
      <c r="AM651" s="354"/>
      <c r="AN651" s="354"/>
      <c r="AO651" s="354"/>
      <c r="AP651" s="354"/>
      <c r="AQ651" s="354"/>
      <c r="AR651" s="354"/>
      <c r="AS651" s="354"/>
      <c r="AT651" s="354"/>
      <c r="AU651" s="354"/>
      <c r="AV651" s="354"/>
      <c r="AW651" s="354"/>
    </row>
    <row r="652" spans="1:49">
      <c r="A652" s="354"/>
      <c r="B652" s="354"/>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c r="AA652" s="354"/>
      <c r="AB652" s="354"/>
      <c r="AC652" s="354"/>
      <c r="AD652" s="354"/>
      <c r="AE652" s="354"/>
      <c r="AF652" s="354"/>
      <c r="AG652" s="354"/>
      <c r="AH652" s="354"/>
      <c r="AI652" s="354"/>
      <c r="AJ652" s="354"/>
      <c r="AK652" s="354"/>
      <c r="AL652" s="354"/>
      <c r="AM652" s="354"/>
      <c r="AN652" s="354"/>
      <c r="AO652" s="354"/>
      <c r="AP652" s="354"/>
      <c r="AQ652" s="354"/>
      <c r="AR652" s="354"/>
      <c r="AS652" s="354"/>
      <c r="AT652" s="354"/>
      <c r="AU652" s="354"/>
      <c r="AV652" s="354"/>
      <c r="AW652" s="354"/>
    </row>
    <row r="653" spans="1:49">
      <c r="A653" s="354"/>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c r="AA653" s="354"/>
      <c r="AB653" s="354"/>
      <c r="AC653" s="354"/>
      <c r="AD653" s="354"/>
      <c r="AE653" s="354"/>
      <c r="AF653" s="354"/>
      <c r="AG653" s="354"/>
      <c r="AH653" s="354"/>
      <c r="AI653" s="354"/>
      <c r="AJ653" s="354"/>
      <c r="AK653" s="354"/>
      <c r="AL653" s="354"/>
      <c r="AM653" s="354"/>
      <c r="AN653" s="354"/>
      <c r="AO653" s="354"/>
      <c r="AP653" s="354"/>
      <c r="AQ653" s="354"/>
      <c r="AR653" s="354"/>
      <c r="AS653" s="354"/>
      <c r="AT653" s="354"/>
      <c r="AU653" s="354"/>
      <c r="AV653" s="354"/>
      <c r="AW653" s="354"/>
    </row>
    <row r="654" spans="1:49">
      <c r="A654" s="354"/>
      <c r="B654" s="354"/>
      <c r="C654" s="354"/>
      <c r="D654" s="354"/>
      <c r="E654" s="354"/>
      <c r="F654" s="354"/>
      <c r="G654" s="354"/>
      <c r="H654" s="354"/>
      <c r="I654" s="354"/>
      <c r="J654" s="354"/>
      <c r="K654" s="354"/>
      <c r="L654" s="354"/>
      <c r="M654" s="354"/>
      <c r="N654" s="354"/>
      <c r="O654" s="354"/>
      <c r="P654" s="354"/>
      <c r="Q654" s="354"/>
      <c r="R654" s="354"/>
      <c r="S654" s="354"/>
      <c r="T654" s="354"/>
      <c r="U654" s="354"/>
      <c r="V654" s="354"/>
      <c r="W654" s="354"/>
      <c r="X654" s="354"/>
      <c r="Y654" s="354"/>
      <c r="Z654" s="354"/>
      <c r="AA654" s="354"/>
      <c r="AB654" s="354"/>
      <c r="AC654" s="354"/>
      <c r="AD654" s="354"/>
      <c r="AE654" s="354"/>
      <c r="AF654" s="354"/>
      <c r="AG654" s="354"/>
      <c r="AH654" s="354"/>
      <c r="AI654" s="354"/>
      <c r="AJ654" s="354"/>
      <c r="AK654" s="354"/>
      <c r="AL654" s="354"/>
      <c r="AM654" s="354"/>
      <c r="AN654" s="354"/>
      <c r="AO654" s="354"/>
      <c r="AP654" s="354"/>
      <c r="AQ654" s="354"/>
      <c r="AR654" s="354"/>
      <c r="AS654" s="354"/>
      <c r="AT654" s="354"/>
      <c r="AU654" s="354"/>
      <c r="AV654" s="354"/>
      <c r="AW654" s="354"/>
    </row>
    <row r="655" spans="1:49">
      <c r="A655" s="354"/>
      <c r="B655" s="354"/>
      <c r="C655" s="354"/>
      <c r="D655" s="354"/>
      <c r="E655" s="354"/>
      <c r="F655" s="354"/>
      <c r="G655" s="354"/>
      <c r="H655" s="354"/>
      <c r="I655" s="354"/>
      <c r="J655" s="354"/>
      <c r="K655" s="354"/>
      <c r="L655" s="354"/>
      <c r="M655" s="354"/>
      <c r="N655" s="354"/>
      <c r="O655" s="354"/>
      <c r="P655" s="354"/>
      <c r="Q655" s="354"/>
      <c r="R655" s="354"/>
      <c r="S655" s="354"/>
      <c r="T655" s="354"/>
      <c r="U655" s="354"/>
      <c r="V655" s="354"/>
      <c r="W655" s="354"/>
      <c r="X655" s="354"/>
      <c r="Y655" s="354"/>
      <c r="Z655" s="354"/>
      <c r="AA655" s="354"/>
      <c r="AB655" s="354"/>
      <c r="AC655" s="354"/>
      <c r="AD655" s="354"/>
      <c r="AE655" s="354"/>
      <c r="AF655" s="354"/>
      <c r="AG655" s="354"/>
      <c r="AH655" s="354"/>
      <c r="AI655" s="354"/>
      <c r="AJ655" s="354"/>
      <c r="AK655" s="354"/>
      <c r="AL655" s="354"/>
      <c r="AM655" s="354"/>
      <c r="AN655" s="354"/>
      <c r="AO655" s="354"/>
      <c r="AP655" s="354"/>
      <c r="AQ655" s="354"/>
      <c r="AR655" s="354"/>
      <c r="AS655" s="354"/>
      <c r="AT655" s="354"/>
      <c r="AU655" s="354"/>
      <c r="AV655" s="354"/>
      <c r="AW655" s="354"/>
    </row>
    <row r="656" spans="1:49">
      <c r="A656" s="354"/>
      <c r="B656" s="354"/>
      <c r="C656" s="354"/>
      <c r="D656" s="354"/>
      <c r="E656" s="354"/>
      <c r="F656" s="354"/>
      <c r="G656" s="354"/>
      <c r="H656" s="354"/>
      <c r="I656" s="354"/>
      <c r="J656" s="354"/>
      <c r="K656" s="354"/>
      <c r="L656" s="354"/>
      <c r="M656" s="354"/>
      <c r="N656" s="354"/>
      <c r="O656" s="354"/>
      <c r="P656" s="354"/>
      <c r="Q656" s="354"/>
      <c r="R656" s="354"/>
      <c r="S656" s="354"/>
      <c r="T656" s="354"/>
      <c r="U656" s="354"/>
      <c r="V656" s="354"/>
      <c r="W656" s="354"/>
      <c r="X656" s="354"/>
      <c r="Y656" s="354"/>
      <c r="Z656" s="354"/>
      <c r="AA656" s="354"/>
      <c r="AB656" s="354"/>
      <c r="AC656" s="354"/>
      <c r="AD656" s="354"/>
      <c r="AE656" s="354"/>
      <c r="AF656" s="354"/>
      <c r="AG656" s="354"/>
      <c r="AH656" s="354"/>
      <c r="AI656" s="354"/>
      <c r="AJ656" s="354"/>
      <c r="AK656" s="354"/>
      <c r="AL656" s="354"/>
      <c r="AM656" s="354"/>
      <c r="AN656" s="354"/>
      <c r="AO656" s="354"/>
      <c r="AP656" s="354"/>
      <c r="AQ656" s="354"/>
      <c r="AR656" s="354"/>
      <c r="AS656" s="354"/>
      <c r="AT656" s="354"/>
      <c r="AU656" s="354"/>
      <c r="AV656" s="354"/>
      <c r="AW656" s="354"/>
    </row>
    <row r="657" spans="1:49">
      <c r="A657" s="354"/>
      <c r="B657" s="354"/>
      <c r="C657" s="354"/>
      <c r="D657" s="354"/>
      <c r="E657" s="354"/>
      <c r="F657" s="354"/>
      <c r="G657" s="354"/>
      <c r="H657" s="354"/>
      <c r="I657" s="354"/>
      <c r="J657" s="354"/>
      <c r="K657" s="354"/>
      <c r="L657" s="354"/>
      <c r="M657" s="354"/>
      <c r="N657" s="354"/>
      <c r="O657" s="354"/>
      <c r="P657" s="354"/>
      <c r="Q657" s="354"/>
      <c r="R657" s="354"/>
      <c r="S657" s="354"/>
      <c r="T657" s="354"/>
      <c r="U657" s="354"/>
      <c r="V657" s="354"/>
      <c r="W657" s="354"/>
      <c r="X657" s="354"/>
      <c r="Y657" s="354"/>
      <c r="Z657" s="354"/>
      <c r="AA657" s="354"/>
      <c r="AB657" s="354"/>
      <c r="AC657" s="354"/>
      <c r="AD657" s="354"/>
      <c r="AE657" s="354"/>
      <c r="AF657" s="354"/>
      <c r="AG657" s="354"/>
      <c r="AH657" s="354"/>
      <c r="AI657" s="354"/>
      <c r="AJ657" s="354"/>
      <c r="AK657" s="354"/>
      <c r="AL657" s="354"/>
      <c r="AM657" s="354"/>
      <c r="AN657" s="354"/>
      <c r="AO657" s="354"/>
      <c r="AP657" s="354"/>
      <c r="AQ657" s="354"/>
      <c r="AR657" s="354"/>
      <c r="AS657" s="354"/>
      <c r="AT657" s="354"/>
      <c r="AU657" s="354"/>
      <c r="AV657" s="354"/>
      <c r="AW657" s="354"/>
    </row>
    <row r="658" spans="1:49">
      <c r="A658" s="354"/>
      <c r="B658" s="354"/>
      <c r="C658" s="354"/>
      <c r="D658" s="354"/>
      <c r="E658" s="354"/>
      <c r="F658" s="354"/>
      <c r="G658" s="354"/>
      <c r="H658" s="354"/>
      <c r="I658" s="354"/>
      <c r="J658" s="354"/>
      <c r="K658" s="354"/>
      <c r="L658" s="354"/>
      <c r="M658" s="354"/>
      <c r="N658" s="354"/>
      <c r="O658" s="354"/>
      <c r="P658" s="354"/>
      <c r="Q658" s="354"/>
      <c r="R658" s="354"/>
      <c r="S658" s="354"/>
      <c r="T658" s="354"/>
      <c r="U658" s="354"/>
      <c r="V658" s="354"/>
      <c r="W658" s="354"/>
      <c r="X658" s="354"/>
      <c r="Y658" s="354"/>
      <c r="Z658" s="354"/>
      <c r="AA658" s="354"/>
      <c r="AB658" s="354"/>
      <c r="AC658" s="354"/>
      <c r="AD658" s="354"/>
      <c r="AE658" s="354"/>
      <c r="AF658" s="354"/>
      <c r="AG658" s="354"/>
      <c r="AH658" s="354"/>
      <c r="AI658" s="354"/>
      <c r="AJ658" s="354"/>
      <c r="AK658" s="354"/>
      <c r="AL658" s="354"/>
      <c r="AM658" s="354"/>
      <c r="AN658" s="354"/>
      <c r="AO658" s="354"/>
      <c r="AP658" s="354"/>
      <c r="AQ658" s="354"/>
      <c r="AR658" s="354"/>
      <c r="AS658" s="354"/>
      <c r="AT658" s="354"/>
      <c r="AU658" s="354"/>
      <c r="AV658" s="354"/>
      <c r="AW658" s="354"/>
    </row>
    <row r="659" spans="1:49">
      <c r="A659" s="354"/>
      <c r="B659" s="354"/>
      <c r="C659" s="354"/>
      <c r="D659" s="354"/>
      <c r="E659" s="354"/>
      <c r="F659" s="354"/>
      <c r="G659" s="354"/>
      <c r="H659" s="354"/>
      <c r="I659" s="354"/>
      <c r="J659" s="354"/>
      <c r="K659" s="354"/>
      <c r="L659" s="354"/>
      <c r="M659" s="354"/>
      <c r="N659" s="354"/>
      <c r="O659" s="354"/>
      <c r="P659" s="354"/>
      <c r="Q659" s="354"/>
      <c r="R659" s="354"/>
      <c r="S659" s="354"/>
      <c r="T659" s="354"/>
      <c r="U659" s="354"/>
      <c r="V659" s="354"/>
      <c r="W659" s="354"/>
      <c r="X659" s="354"/>
      <c r="Y659" s="354"/>
      <c r="Z659" s="354"/>
      <c r="AA659" s="354"/>
      <c r="AB659" s="354"/>
      <c r="AC659" s="354"/>
      <c r="AD659" s="354"/>
      <c r="AE659" s="354"/>
      <c r="AF659" s="354"/>
      <c r="AG659" s="354"/>
      <c r="AH659" s="354"/>
      <c r="AI659" s="354"/>
      <c r="AJ659" s="354"/>
      <c r="AK659" s="354"/>
      <c r="AL659" s="354"/>
      <c r="AM659" s="354"/>
      <c r="AN659" s="354"/>
      <c r="AO659" s="354"/>
      <c r="AP659" s="354"/>
      <c r="AQ659" s="354"/>
      <c r="AR659" s="354"/>
      <c r="AS659" s="354"/>
      <c r="AT659" s="354"/>
      <c r="AU659" s="354"/>
      <c r="AV659" s="354"/>
      <c r="AW659" s="354"/>
    </row>
    <row r="660" spans="1:49">
      <c r="A660" s="354"/>
      <c r="B660" s="354"/>
      <c r="C660" s="354"/>
      <c r="D660" s="354"/>
      <c r="E660" s="354"/>
      <c r="F660" s="354"/>
      <c r="G660" s="354"/>
      <c r="H660" s="354"/>
      <c r="I660" s="354"/>
      <c r="J660" s="354"/>
      <c r="K660" s="354"/>
      <c r="L660" s="354"/>
      <c r="M660" s="354"/>
      <c r="N660" s="354"/>
      <c r="O660" s="354"/>
      <c r="P660" s="354"/>
      <c r="Q660" s="354"/>
      <c r="R660" s="354"/>
      <c r="S660" s="354"/>
      <c r="T660" s="354"/>
      <c r="U660" s="354"/>
      <c r="V660" s="354"/>
      <c r="W660" s="354"/>
      <c r="X660" s="354"/>
      <c r="Y660" s="354"/>
      <c r="Z660" s="354"/>
      <c r="AA660" s="354"/>
      <c r="AB660" s="354"/>
      <c r="AC660" s="354"/>
      <c r="AD660" s="354"/>
      <c r="AE660" s="354"/>
      <c r="AF660" s="354"/>
      <c r="AG660" s="354"/>
      <c r="AH660" s="354"/>
      <c r="AI660" s="354"/>
      <c r="AJ660" s="354"/>
      <c r="AK660" s="354"/>
      <c r="AL660" s="354"/>
      <c r="AM660" s="354"/>
      <c r="AN660" s="354"/>
      <c r="AO660" s="354"/>
      <c r="AP660" s="354"/>
      <c r="AQ660" s="354"/>
      <c r="AR660" s="354"/>
      <c r="AS660" s="354"/>
      <c r="AT660" s="354"/>
      <c r="AU660" s="354"/>
      <c r="AV660" s="354"/>
      <c r="AW660" s="354"/>
    </row>
    <row r="661" spans="1:49">
      <c r="A661" s="354"/>
      <c r="B661" s="354"/>
      <c r="C661" s="354"/>
      <c r="D661" s="354"/>
      <c r="E661" s="354"/>
      <c r="F661" s="354"/>
      <c r="G661" s="354"/>
      <c r="H661" s="354"/>
      <c r="I661" s="354"/>
      <c r="J661" s="354"/>
      <c r="K661" s="354"/>
      <c r="L661" s="354"/>
      <c r="M661" s="354"/>
      <c r="N661" s="354"/>
      <c r="O661" s="354"/>
      <c r="P661" s="354"/>
      <c r="Q661" s="354"/>
      <c r="R661" s="354"/>
      <c r="S661" s="354"/>
      <c r="T661" s="354"/>
      <c r="U661" s="354"/>
      <c r="V661" s="354"/>
      <c r="W661" s="354"/>
      <c r="X661" s="354"/>
      <c r="Y661" s="354"/>
      <c r="Z661" s="354"/>
      <c r="AA661" s="354"/>
      <c r="AB661" s="354"/>
      <c r="AC661" s="354"/>
      <c r="AD661" s="354"/>
      <c r="AE661" s="354"/>
      <c r="AF661" s="354"/>
      <c r="AG661" s="354"/>
      <c r="AH661" s="354"/>
      <c r="AI661" s="354"/>
      <c r="AJ661" s="354"/>
      <c r="AK661" s="354"/>
      <c r="AL661" s="354"/>
      <c r="AM661" s="354"/>
      <c r="AN661" s="354"/>
      <c r="AO661" s="354"/>
      <c r="AP661" s="354"/>
      <c r="AQ661" s="354"/>
      <c r="AR661" s="354"/>
      <c r="AS661" s="354"/>
      <c r="AT661" s="354"/>
      <c r="AU661" s="354"/>
      <c r="AV661" s="354"/>
      <c r="AW661" s="354"/>
    </row>
    <row r="662" spans="1:49">
      <c r="A662" s="354"/>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row>
    <row r="663" spans="1:49">
      <c r="A663" s="354"/>
      <c r="B663" s="354"/>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c r="AA663" s="354"/>
      <c r="AB663" s="354"/>
      <c r="AC663" s="354"/>
      <c r="AD663" s="354"/>
      <c r="AE663" s="354"/>
      <c r="AF663" s="354"/>
      <c r="AG663" s="354"/>
      <c r="AH663" s="354"/>
      <c r="AI663" s="354"/>
      <c r="AJ663" s="354"/>
      <c r="AK663" s="354"/>
      <c r="AL663" s="354"/>
      <c r="AM663" s="354"/>
      <c r="AN663" s="354"/>
      <c r="AO663" s="354"/>
      <c r="AP663" s="354"/>
      <c r="AQ663" s="354"/>
      <c r="AR663" s="354"/>
      <c r="AS663" s="354"/>
      <c r="AT663" s="354"/>
      <c r="AU663" s="354"/>
      <c r="AV663" s="354"/>
      <c r="AW663" s="354"/>
    </row>
    <row r="664" spans="1:49">
      <c r="A664" s="354"/>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c r="AA664" s="354"/>
      <c r="AB664" s="354"/>
      <c r="AC664" s="354"/>
      <c r="AD664" s="354"/>
      <c r="AE664" s="354"/>
      <c r="AF664" s="354"/>
      <c r="AG664" s="354"/>
      <c r="AH664" s="354"/>
      <c r="AI664" s="354"/>
      <c r="AJ664" s="354"/>
      <c r="AK664" s="354"/>
      <c r="AL664" s="354"/>
      <c r="AM664" s="354"/>
      <c r="AN664" s="354"/>
      <c r="AO664" s="354"/>
      <c r="AP664" s="354"/>
      <c r="AQ664" s="354"/>
      <c r="AR664" s="354"/>
      <c r="AS664" s="354"/>
      <c r="AT664" s="354"/>
      <c r="AU664" s="354"/>
      <c r="AV664" s="354"/>
      <c r="AW664" s="354"/>
    </row>
    <row r="665" spans="1:49">
      <c r="A665" s="354"/>
      <c r="B665" s="354"/>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c r="AA665" s="354"/>
      <c r="AB665" s="354"/>
      <c r="AC665" s="354"/>
      <c r="AD665" s="354"/>
      <c r="AE665" s="354"/>
      <c r="AF665" s="354"/>
      <c r="AG665" s="354"/>
      <c r="AH665" s="354"/>
      <c r="AI665" s="354"/>
      <c r="AJ665" s="354"/>
      <c r="AK665" s="354"/>
      <c r="AL665" s="354"/>
      <c r="AM665" s="354"/>
      <c r="AN665" s="354"/>
      <c r="AO665" s="354"/>
      <c r="AP665" s="354"/>
      <c r="AQ665" s="354"/>
      <c r="AR665" s="354"/>
      <c r="AS665" s="354"/>
      <c r="AT665" s="354"/>
      <c r="AU665" s="354"/>
      <c r="AV665" s="354"/>
      <c r="AW665" s="354"/>
    </row>
    <row r="666" spans="1:49">
      <c r="A666" s="354"/>
      <c r="B666" s="354"/>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c r="AA666" s="354"/>
      <c r="AB666" s="354"/>
      <c r="AC666" s="354"/>
      <c r="AD666" s="354"/>
      <c r="AE666" s="354"/>
      <c r="AF666" s="354"/>
      <c r="AG666" s="354"/>
      <c r="AH666" s="354"/>
      <c r="AI666" s="354"/>
      <c r="AJ666" s="354"/>
      <c r="AK666" s="354"/>
      <c r="AL666" s="354"/>
      <c r="AM666" s="354"/>
      <c r="AN666" s="354"/>
      <c r="AO666" s="354"/>
      <c r="AP666" s="354"/>
      <c r="AQ666" s="354"/>
      <c r="AR666" s="354"/>
      <c r="AS666" s="354"/>
      <c r="AT666" s="354"/>
      <c r="AU666" s="354"/>
      <c r="AV666" s="354"/>
      <c r="AW666" s="354"/>
    </row>
    <row r="667" spans="1:49">
      <c r="A667" s="354"/>
      <c r="B667" s="354"/>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c r="AA667" s="354"/>
      <c r="AB667" s="354"/>
      <c r="AC667" s="354"/>
      <c r="AD667" s="354"/>
      <c r="AE667" s="354"/>
      <c r="AF667" s="354"/>
      <c r="AG667" s="354"/>
      <c r="AH667" s="354"/>
      <c r="AI667" s="354"/>
      <c r="AJ667" s="354"/>
      <c r="AK667" s="354"/>
      <c r="AL667" s="354"/>
      <c r="AM667" s="354"/>
      <c r="AN667" s="354"/>
      <c r="AO667" s="354"/>
      <c r="AP667" s="354"/>
      <c r="AQ667" s="354"/>
      <c r="AR667" s="354"/>
      <c r="AS667" s="354"/>
      <c r="AT667" s="354"/>
      <c r="AU667" s="354"/>
      <c r="AV667" s="354"/>
      <c r="AW667" s="354"/>
    </row>
    <row r="668" spans="1:49">
      <c r="A668" s="354"/>
      <c r="B668" s="354"/>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c r="AA668" s="354"/>
      <c r="AB668" s="354"/>
      <c r="AC668" s="354"/>
      <c r="AD668" s="354"/>
      <c r="AE668" s="354"/>
      <c r="AF668" s="354"/>
      <c r="AG668" s="354"/>
      <c r="AH668" s="354"/>
      <c r="AI668" s="354"/>
      <c r="AJ668" s="354"/>
      <c r="AK668" s="354"/>
      <c r="AL668" s="354"/>
      <c r="AM668" s="354"/>
      <c r="AN668" s="354"/>
      <c r="AO668" s="354"/>
      <c r="AP668" s="354"/>
      <c r="AQ668" s="354"/>
      <c r="AR668" s="354"/>
      <c r="AS668" s="354"/>
      <c r="AT668" s="354"/>
      <c r="AU668" s="354"/>
      <c r="AV668" s="354"/>
      <c r="AW668" s="354"/>
    </row>
    <row r="669" spans="1:49">
      <c r="A669" s="354"/>
      <c r="B669" s="354"/>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54"/>
      <c r="AE669" s="354"/>
      <c r="AF669" s="354"/>
      <c r="AG669" s="354"/>
      <c r="AH669" s="354"/>
      <c r="AI669" s="354"/>
      <c r="AJ669" s="354"/>
      <c r="AK669" s="354"/>
      <c r="AL669" s="354"/>
      <c r="AM669" s="354"/>
      <c r="AN669" s="354"/>
      <c r="AO669" s="354"/>
      <c r="AP669" s="354"/>
      <c r="AQ669" s="354"/>
      <c r="AR669" s="354"/>
      <c r="AS669" s="354"/>
      <c r="AT669" s="354"/>
      <c r="AU669" s="354"/>
      <c r="AV669" s="354"/>
      <c r="AW669" s="354"/>
    </row>
    <row r="670" spans="1:49">
      <c r="A670" s="354"/>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c r="AA670" s="354"/>
      <c r="AB670" s="354"/>
      <c r="AC670" s="354"/>
      <c r="AD670" s="354"/>
      <c r="AE670" s="354"/>
      <c r="AF670" s="354"/>
      <c r="AG670" s="354"/>
      <c r="AH670" s="354"/>
      <c r="AI670" s="354"/>
      <c r="AJ670" s="354"/>
      <c r="AK670" s="354"/>
      <c r="AL670" s="354"/>
      <c r="AM670" s="354"/>
      <c r="AN670" s="354"/>
      <c r="AO670" s="354"/>
      <c r="AP670" s="354"/>
      <c r="AQ670" s="354"/>
      <c r="AR670" s="354"/>
      <c r="AS670" s="354"/>
      <c r="AT670" s="354"/>
      <c r="AU670" s="354"/>
      <c r="AV670" s="354"/>
      <c r="AW670" s="354"/>
    </row>
    <row r="671" spans="1:49">
      <c r="A671" s="354"/>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c r="AA671" s="354"/>
      <c r="AB671" s="354"/>
      <c r="AC671" s="354"/>
      <c r="AD671" s="354"/>
      <c r="AE671" s="354"/>
      <c r="AF671" s="354"/>
      <c r="AG671" s="354"/>
      <c r="AH671" s="354"/>
      <c r="AI671" s="354"/>
      <c r="AJ671" s="354"/>
      <c r="AK671" s="354"/>
      <c r="AL671" s="354"/>
      <c r="AM671" s="354"/>
      <c r="AN671" s="354"/>
      <c r="AO671" s="354"/>
      <c r="AP671" s="354"/>
      <c r="AQ671" s="354"/>
      <c r="AR671" s="354"/>
      <c r="AS671" s="354"/>
      <c r="AT671" s="354"/>
      <c r="AU671" s="354"/>
      <c r="AV671" s="354"/>
      <c r="AW671" s="354"/>
    </row>
    <row r="672" spans="1:49">
      <c r="A672" s="354"/>
      <c r="B672" s="354"/>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c r="AA672" s="354"/>
      <c r="AB672" s="354"/>
      <c r="AC672" s="354"/>
      <c r="AD672" s="354"/>
      <c r="AE672" s="354"/>
      <c r="AF672" s="354"/>
      <c r="AG672" s="354"/>
      <c r="AH672" s="354"/>
      <c r="AI672" s="354"/>
      <c r="AJ672" s="354"/>
      <c r="AK672" s="354"/>
      <c r="AL672" s="354"/>
      <c r="AM672" s="354"/>
      <c r="AN672" s="354"/>
      <c r="AO672" s="354"/>
      <c r="AP672" s="354"/>
      <c r="AQ672" s="354"/>
      <c r="AR672" s="354"/>
      <c r="AS672" s="354"/>
      <c r="AT672" s="354"/>
      <c r="AU672" s="354"/>
      <c r="AV672" s="354"/>
      <c r="AW672" s="354"/>
    </row>
    <row r="673" spans="1:49">
      <c r="A673" s="354"/>
      <c r="B673" s="354"/>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c r="AA673" s="354"/>
      <c r="AB673" s="354"/>
      <c r="AC673" s="354"/>
      <c r="AD673" s="354"/>
      <c r="AE673" s="354"/>
      <c r="AF673" s="354"/>
      <c r="AG673" s="354"/>
      <c r="AH673" s="354"/>
      <c r="AI673" s="354"/>
      <c r="AJ673" s="354"/>
      <c r="AK673" s="354"/>
      <c r="AL673" s="354"/>
      <c r="AM673" s="354"/>
      <c r="AN673" s="354"/>
      <c r="AO673" s="354"/>
      <c r="AP673" s="354"/>
      <c r="AQ673" s="354"/>
      <c r="AR673" s="354"/>
      <c r="AS673" s="354"/>
      <c r="AT673" s="354"/>
      <c r="AU673" s="354"/>
      <c r="AV673" s="354"/>
      <c r="AW673" s="354"/>
    </row>
    <row r="674" spans="1:49">
      <c r="A674" s="354"/>
      <c r="B674" s="35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row>
    <row r="675" spans="1:49">
      <c r="A675" s="354"/>
      <c r="B675" s="354"/>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c r="AA675" s="354"/>
      <c r="AB675" s="354"/>
      <c r="AC675" s="354"/>
      <c r="AD675" s="354"/>
      <c r="AE675" s="354"/>
      <c r="AF675" s="354"/>
      <c r="AG675" s="354"/>
      <c r="AH675" s="354"/>
      <c r="AI675" s="354"/>
      <c r="AJ675" s="354"/>
      <c r="AK675" s="354"/>
      <c r="AL675" s="354"/>
      <c r="AM675" s="354"/>
      <c r="AN675" s="354"/>
      <c r="AO675" s="354"/>
      <c r="AP675" s="354"/>
      <c r="AQ675" s="354"/>
      <c r="AR675" s="354"/>
      <c r="AS675" s="354"/>
      <c r="AT675" s="354"/>
      <c r="AU675" s="354"/>
      <c r="AV675" s="354"/>
      <c r="AW675" s="354"/>
    </row>
    <row r="676" spans="1:49">
      <c r="A676" s="354"/>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c r="AA676" s="354"/>
      <c r="AB676" s="354"/>
      <c r="AC676" s="354"/>
      <c r="AD676" s="354"/>
      <c r="AE676" s="354"/>
      <c r="AF676" s="354"/>
      <c r="AG676" s="354"/>
      <c r="AH676" s="354"/>
      <c r="AI676" s="354"/>
      <c r="AJ676" s="354"/>
      <c r="AK676" s="354"/>
      <c r="AL676" s="354"/>
      <c r="AM676" s="354"/>
      <c r="AN676" s="354"/>
      <c r="AO676" s="354"/>
      <c r="AP676" s="354"/>
      <c r="AQ676" s="354"/>
      <c r="AR676" s="354"/>
      <c r="AS676" s="354"/>
      <c r="AT676" s="354"/>
      <c r="AU676" s="354"/>
      <c r="AV676" s="354"/>
      <c r="AW676" s="354"/>
    </row>
    <row r="677" spans="1:49">
      <c r="A677" s="354"/>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c r="AA677" s="354"/>
      <c r="AB677" s="354"/>
      <c r="AC677" s="354"/>
      <c r="AD677" s="354"/>
      <c r="AE677" s="354"/>
      <c r="AF677" s="354"/>
      <c r="AG677" s="354"/>
      <c r="AH677" s="354"/>
      <c r="AI677" s="354"/>
      <c r="AJ677" s="354"/>
      <c r="AK677" s="354"/>
      <c r="AL677" s="354"/>
      <c r="AM677" s="354"/>
      <c r="AN677" s="354"/>
      <c r="AO677" s="354"/>
      <c r="AP677" s="354"/>
      <c r="AQ677" s="354"/>
      <c r="AR677" s="354"/>
      <c r="AS677" s="354"/>
      <c r="AT677" s="354"/>
      <c r="AU677" s="354"/>
      <c r="AV677" s="354"/>
      <c r="AW677" s="354"/>
    </row>
    <row r="678" spans="1:49">
      <c r="A678" s="354"/>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54"/>
      <c r="AE678" s="354"/>
      <c r="AF678" s="354"/>
      <c r="AG678" s="354"/>
      <c r="AH678" s="354"/>
      <c r="AI678" s="354"/>
      <c r="AJ678" s="354"/>
      <c r="AK678" s="354"/>
      <c r="AL678" s="354"/>
      <c r="AM678" s="354"/>
      <c r="AN678" s="354"/>
      <c r="AO678" s="354"/>
      <c r="AP678" s="354"/>
      <c r="AQ678" s="354"/>
      <c r="AR678" s="354"/>
      <c r="AS678" s="354"/>
      <c r="AT678" s="354"/>
      <c r="AU678" s="354"/>
      <c r="AV678" s="354"/>
      <c r="AW678" s="354"/>
    </row>
    <row r="679" spans="1:49">
      <c r="A679" s="354"/>
      <c r="B679" s="354"/>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c r="AA679" s="354"/>
      <c r="AB679" s="354"/>
      <c r="AC679" s="354"/>
      <c r="AD679" s="354"/>
      <c r="AE679" s="354"/>
      <c r="AF679" s="354"/>
      <c r="AG679" s="354"/>
      <c r="AH679" s="354"/>
      <c r="AI679" s="354"/>
      <c r="AJ679" s="354"/>
      <c r="AK679" s="354"/>
      <c r="AL679" s="354"/>
      <c r="AM679" s="354"/>
      <c r="AN679" s="354"/>
      <c r="AO679" s="354"/>
      <c r="AP679" s="354"/>
      <c r="AQ679" s="354"/>
      <c r="AR679" s="354"/>
      <c r="AS679" s="354"/>
      <c r="AT679" s="354"/>
      <c r="AU679" s="354"/>
      <c r="AV679" s="354"/>
      <c r="AW679" s="354"/>
    </row>
    <row r="680" spans="1:49">
      <c r="A680" s="354"/>
      <c r="B680" s="354"/>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c r="AA680" s="354"/>
      <c r="AB680" s="354"/>
      <c r="AC680" s="354"/>
      <c r="AD680" s="354"/>
      <c r="AE680" s="354"/>
      <c r="AF680" s="354"/>
      <c r="AG680" s="354"/>
      <c r="AH680" s="354"/>
      <c r="AI680" s="354"/>
      <c r="AJ680" s="354"/>
      <c r="AK680" s="354"/>
      <c r="AL680" s="354"/>
      <c r="AM680" s="354"/>
      <c r="AN680" s="354"/>
      <c r="AO680" s="354"/>
      <c r="AP680" s="354"/>
      <c r="AQ680" s="354"/>
      <c r="AR680" s="354"/>
      <c r="AS680" s="354"/>
      <c r="AT680" s="354"/>
      <c r="AU680" s="354"/>
      <c r="AV680" s="354"/>
      <c r="AW680" s="354"/>
    </row>
    <row r="681" spans="1:49">
      <c r="A681" s="354"/>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c r="AA681" s="354"/>
      <c r="AB681" s="354"/>
      <c r="AC681" s="354"/>
      <c r="AD681" s="354"/>
      <c r="AE681" s="354"/>
      <c r="AF681" s="354"/>
      <c r="AG681" s="354"/>
      <c r="AH681" s="354"/>
      <c r="AI681" s="354"/>
      <c r="AJ681" s="354"/>
      <c r="AK681" s="354"/>
      <c r="AL681" s="354"/>
      <c r="AM681" s="354"/>
      <c r="AN681" s="354"/>
      <c r="AO681" s="354"/>
      <c r="AP681" s="354"/>
      <c r="AQ681" s="354"/>
      <c r="AR681" s="354"/>
      <c r="AS681" s="354"/>
      <c r="AT681" s="354"/>
      <c r="AU681" s="354"/>
      <c r="AV681" s="354"/>
      <c r="AW681" s="354"/>
    </row>
    <row r="682" spans="1:49">
      <c r="A682" s="354"/>
      <c r="B682" s="354"/>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c r="AA682" s="354"/>
      <c r="AB682" s="354"/>
      <c r="AC682" s="354"/>
      <c r="AD682" s="354"/>
      <c r="AE682" s="354"/>
      <c r="AF682" s="354"/>
      <c r="AG682" s="354"/>
      <c r="AH682" s="354"/>
      <c r="AI682" s="354"/>
      <c r="AJ682" s="354"/>
      <c r="AK682" s="354"/>
      <c r="AL682" s="354"/>
      <c r="AM682" s="354"/>
      <c r="AN682" s="354"/>
      <c r="AO682" s="354"/>
      <c r="AP682" s="354"/>
      <c r="AQ682" s="354"/>
      <c r="AR682" s="354"/>
      <c r="AS682" s="354"/>
      <c r="AT682" s="354"/>
      <c r="AU682" s="354"/>
      <c r="AV682" s="354"/>
      <c r="AW682" s="354"/>
    </row>
    <row r="683" spans="1:49">
      <c r="A683" s="354"/>
      <c r="B683" s="354"/>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c r="AA683" s="354"/>
      <c r="AB683" s="354"/>
      <c r="AC683" s="354"/>
      <c r="AD683" s="354"/>
      <c r="AE683" s="354"/>
      <c r="AF683" s="354"/>
      <c r="AG683" s="354"/>
      <c r="AH683" s="354"/>
      <c r="AI683" s="354"/>
      <c r="AJ683" s="354"/>
      <c r="AK683" s="354"/>
      <c r="AL683" s="354"/>
      <c r="AM683" s="354"/>
      <c r="AN683" s="354"/>
      <c r="AO683" s="354"/>
      <c r="AP683" s="354"/>
      <c r="AQ683" s="354"/>
      <c r="AR683" s="354"/>
      <c r="AS683" s="354"/>
      <c r="AT683" s="354"/>
      <c r="AU683" s="354"/>
      <c r="AV683" s="354"/>
      <c r="AW683" s="354"/>
    </row>
    <row r="684" spans="1:49">
      <c r="A684" s="354"/>
      <c r="B684" s="354"/>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c r="AA684" s="354"/>
      <c r="AB684" s="354"/>
      <c r="AC684" s="354"/>
      <c r="AD684" s="354"/>
      <c r="AE684" s="354"/>
      <c r="AF684" s="354"/>
      <c r="AG684" s="354"/>
      <c r="AH684" s="354"/>
      <c r="AI684" s="354"/>
      <c r="AJ684" s="354"/>
      <c r="AK684" s="354"/>
      <c r="AL684" s="354"/>
      <c r="AM684" s="354"/>
      <c r="AN684" s="354"/>
      <c r="AO684" s="354"/>
      <c r="AP684" s="354"/>
      <c r="AQ684" s="354"/>
      <c r="AR684" s="354"/>
      <c r="AS684" s="354"/>
      <c r="AT684" s="354"/>
      <c r="AU684" s="354"/>
      <c r="AV684" s="354"/>
      <c r="AW684" s="354"/>
    </row>
    <row r="685" spans="1:49">
      <c r="A685" s="354"/>
      <c r="B685" s="354"/>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c r="AA685" s="354"/>
      <c r="AB685" s="354"/>
      <c r="AC685" s="354"/>
      <c r="AD685" s="354"/>
      <c r="AE685" s="354"/>
      <c r="AF685" s="354"/>
      <c r="AG685" s="354"/>
      <c r="AH685" s="354"/>
      <c r="AI685" s="354"/>
      <c r="AJ685" s="354"/>
      <c r="AK685" s="354"/>
      <c r="AL685" s="354"/>
      <c r="AM685" s="354"/>
      <c r="AN685" s="354"/>
      <c r="AO685" s="354"/>
      <c r="AP685" s="354"/>
      <c r="AQ685" s="354"/>
      <c r="AR685" s="354"/>
      <c r="AS685" s="354"/>
      <c r="AT685" s="354"/>
      <c r="AU685" s="354"/>
      <c r="AV685" s="354"/>
      <c r="AW685" s="354"/>
    </row>
    <row r="686" spans="1:49">
      <c r="A686" s="354"/>
      <c r="B686" s="354"/>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c r="AA686" s="354"/>
      <c r="AB686" s="354"/>
      <c r="AC686" s="354"/>
      <c r="AD686" s="354"/>
      <c r="AE686" s="354"/>
      <c r="AF686" s="354"/>
      <c r="AG686" s="354"/>
      <c r="AH686" s="354"/>
      <c r="AI686" s="354"/>
      <c r="AJ686" s="354"/>
      <c r="AK686" s="354"/>
      <c r="AL686" s="354"/>
      <c r="AM686" s="354"/>
      <c r="AN686" s="354"/>
      <c r="AO686" s="354"/>
      <c r="AP686" s="354"/>
      <c r="AQ686" s="354"/>
      <c r="AR686" s="354"/>
      <c r="AS686" s="354"/>
      <c r="AT686" s="354"/>
      <c r="AU686" s="354"/>
      <c r="AV686" s="354"/>
      <c r="AW686" s="354"/>
    </row>
    <row r="687" spans="1:49">
      <c r="A687" s="354"/>
      <c r="B687" s="354"/>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c r="AA687" s="354"/>
      <c r="AB687" s="354"/>
      <c r="AC687" s="354"/>
      <c r="AD687" s="354"/>
      <c r="AE687" s="354"/>
      <c r="AF687" s="354"/>
      <c r="AG687" s="354"/>
      <c r="AH687" s="354"/>
      <c r="AI687" s="354"/>
      <c r="AJ687" s="354"/>
      <c r="AK687" s="354"/>
      <c r="AL687" s="354"/>
      <c r="AM687" s="354"/>
      <c r="AN687" s="354"/>
      <c r="AO687" s="354"/>
      <c r="AP687" s="354"/>
      <c r="AQ687" s="354"/>
      <c r="AR687" s="354"/>
      <c r="AS687" s="354"/>
      <c r="AT687" s="354"/>
      <c r="AU687" s="354"/>
      <c r="AV687" s="354"/>
      <c r="AW687" s="354"/>
    </row>
    <row r="688" spans="1:49">
      <c r="A688" s="354"/>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c r="AA688" s="354"/>
      <c r="AB688" s="354"/>
      <c r="AC688" s="354"/>
      <c r="AD688" s="354"/>
      <c r="AE688" s="354"/>
      <c r="AF688" s="354"/>
      <c r="AG688" s="354"/>
      <c r="AH688" s="354"/>
      <c r="AI688" s="354"/>
      <c r="AJ688" s="354"/>
      <c r="AK688" s="354"/>
      <c r="AL688" s="354"/>
      <c r="AM688" s="354"/>
      <c r="AN688" s="354"/>
      <c r="AO688" s="354"/>
      <c r="AP688" s="354"/>
      <c r="AQ688" s="354"/>
      <c r="AR688" s="354"/>
      <c r="AS688" s="354"/>
      <c r="AT688" s="354"/>
      <c r="AU688" s="354"/>
      <c r="AV688" s="354"/>
      <c r="AW688" s="354"/>
    </row>
    <row r="689" spans="1:49">
      <c r="A689" s="354"/>
      <c r="B689" s="354"/>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c r="AA689" s="354"/>
      <c r="AB689" s="354"/>
      <c r="AC689" s="354"/>
      <c r="AD689" s="354"/>
      <c r="AE689" s="354"/>
      <c r="AF689" s="354"/>
      <c r="AG689" s="354"/>
      <c r="AH689" s="354"/>
      <c r="AI689" s="354"/>
      <c r="AJ689" s="354"/>
      <c r="AK689" s="354"/>
      <c r="AL689" s="354"/>
      <c r="AM689" s="354"/>
      <c r="AN689" s="354"/>
      <c r="AO689" s="354"/>
      <c r="AP689" s="354"/>
      <c r="AQ689" s="354"/>
      <c r="AR689" s="354"/>
      <c r="AS689" s="354"/>
      <c r="AT689" s="354"/>
      <c r="AU689" s="354"/>
      <c r="AV689" s="354"/>
      <c r="AW689" s="354"/>
    </row>
    <row r="690" spans="1:49">
      <c r="A690" s="354"/>
      <c r="B690" s="354"/>
      <c r="C690" s="354"/>
      <c r="D690" s="354"/>
      <c r="E690" s="354"/>
      <c r="F690" s="354"/>
      <c r="G690" s="354"/>
      <c r="H690" s="354"/>
      <c r="I690" s="354"/>
      <c r="J690" s="354"/>
      <c r="K690" s="354"/>
      <c r="L690" s="354"/>
      <c r="M690" s="354"/>
      <c r="N690" s="354"/>
      <c r="O690" s="354"/>
      <c r="P690" s="354"/>
      <c r="Q690" s="354"/>
      <c r="R690" s="354"/>
      <c r="S690" s="354"/>
      <c r="T690" s="354"/>
      <c r="U690" s="354"/>
      <c r="V690" s="354"/>
      <c r="W690" s="354"/>
      <c r="X690" s="354"/>
      <c r="Y690" s="354"/>
      <c r="Z690" s="354"/>
      <c r="AA690" s="354"/>
      <c r="AB690" s="354"/>
      <c r="AC690" s="354"/>
      <c r="AD690" s="354"/>
      <c r="AE690" s="354"/>
      <c r="AF690" s="354"/>
      <c r="AG690" s="354"/>
      <c r="AH690" s="354"/>
      <c r="AI690" s="354"/>
      <c r="AJ690" s="354"/>
      <c r="AK690" s="354"/>
      <c r="AL690" s="354"/>
      <c r="AM690" s="354"/>
      <c r="AN690" s="354"/>
      <c r="AO690" s="354"/>
      <c r="AP690" s="354"/>
      <c r="AQ690" s="354"/>
      <c r="AR690" s="354"/>
      <c r="AS690" s="354"/>
      <c r="AT690" s="354"/>
      <c r="AU690" s="354"/>
      <c r="AV690" s="354"/>
      <c r="AW690" s="354"/>
    </row>
    <row r="691" spans="1:49">
      <c r="A691" s="354"/>
      <c r="B691" s="354"/>
      <c r="C691" s="354"/>
      <c r="D691" s="354"/>
      <c r="E691" s="354"/>
      <c r="F691" s="354"/>
      <c r="G691" s="354"/>
      <c r="H691" s="354"/>
      <c r="I691" s="354"/>
      <c r="J691" s="354"/>
      <c r="K691" s="354"/>
      <c r="L691" s="354"/>
      <c r="M691" s="354"/>
      <c r="N691" s="354"/>
      <c r="O691" s="354"/>
      <c r="P691" s="354"/>
      <c r="Q691" s="354"/>
      <c r="R691" s="354"/>
      <c r="S691" s="354"/>
      <c r="T691" s="354"/>
      <c r="U691" s="354"/>
      <c r="V691" s="354"/>
      <c r="W691" s="354"/>
      <c r="X691" s="354"/>
      <c r="Y691" s="354"/>
      <c r="Z691" s="354"/>
      <c r="AA691" s="354"/>
      <c r="AB691" s="354"/>
      <c r="AC691" s="354"/>
      <c r="AD691" s="354"/>
      <c r="AE691" s="354"/>
      <c r="AF691" s="354"/>
      <c r="AG691" s="354"/>
      <c r="AH691" s="354"/>
      <c r="AI691" s="354"/>
      <c r="AJ691" s="354"/>
      <c r="AK691" s="354"/>
      <c r="AL691" s="354"/>
      <c r="AM691" s="354"/>
      <c r="AN691" s="354"/>
      <c r="AO691" s="354"/>
      <c r="AP691" s="354"/>
      <c r="AQ691" s="354"/>
      <c r="AR691" s="354"/>
      <c r="AS691" s="354"/>
      <c r="AT691" s="354"/>
      <c r="AU691" s="354"/>
      <c r="AV691" s="354"/>
      <c r="AW691" s="354"/>
    </row>
    <row r="692" spans="1:49">
      <c r="A692" s="354"/>
      <c r="B692" s="354"/>
      <c r="C692" s="354"/>
      <c r="D692" s="354"/>
      <c r="E692" s="354"/>
      <c r="F692" s="354"/>
      <c r="G692" s="354"/>
      <c r="H692" s="354"/>
      <c r="I692" s="354"/>
      <c r="J692" s="354"/>
      <c r="K692" s="354"/>
      <c r="L692" s="354"/>
      <c r="M692" s="354"/>
      <c r="N692" s="354"/>
      <c r="O692" s="354"/>
      <c r="P692" s="354"/>
      <c r="Q692" s="354"/>
      <c r="R692" s="354"/>
      <c r="S692" s="354"/>
      <c r="T692" s="354"/>
      <c r="U692" s="354"/>
      <c r="V692" s="354"/>
      <c r="W692" s="354"/>
      <c r="X692" s="354"/>
      <c r="Y692" s="354"/>
      <c r="Z692" s="354"/>
      <c r="AA692" s="354"/>
      <c r="AB692" s="354"/>
      <c r="AC692" s="354"/>
      <c r="AD692" s="354"/>
      <c r="AE692" s="354"/>
      <c r="AF692" s="354"/>
      <c r="AG692" s="354"/>
      <c r="AH692" s="354"/>
      <c r="AI692" s="354"/>
      <c r="AJ692" s="354"/>
      <c r="AK692" s="354"/>
      <c r="AL692" s="354"/>
      <c r="AM692" s="354"/>
      <c r="AN692" s="354"/>
      <c r="AO692" s="354"/>
      <c r="AP692" s="354"/>
      <c r="AQ692" s="354"/>
      <c r="AR692" s="354"/>
      <c r="AS692" s="354"/>
      <c r="AT692" s="354"/>
      <c r="AU692" s="354"/>
      <c r="AV692" s="354"/>
      <c r="AW692" s="354"/>
    </row>
    <row r="693" spans="1:49">
      <c r="A693" s="354"/>
      <c r="B693" s="354"/>
      <c r="C693" s="354"/>
      <c r="D693" s="354"/>
      <c r="E693" s="354"/>
      <c r="F693" s="354"/>
      <c r="G693" s="354"/>
      <c r="H693" s="354"/>
      <c r="I693" s="354"/>
      <c r="J693" s="354"/>
      <c r="K693" s="354"/>
      <c r="L693" s="354"/>
      <c r="M693" s="354"/>
      <c r="N693" s="354"/>
      <c r="O693" s="354"/>
      <c r="P693" s="354"/>
      <c r="Q693" s="354"/>
      <c r="R693" s="354"/>
      <c r="S693" s="354"/>
      <c r="T693" s="354"/>
      <c r="U693" s="354"/>
      <c r="V693" s="354"/>
      <c r="W693" s="354"/>
      <c r="X693" s="354"/>
      <c r="Y693" s="354"/>
      <c r="Z693" s="354"/>
      <c r="AA693" s="354"/>
      <c r="AB693" s="354"/>
      <c r="AC693" s="354"/>
      <c r="AD693" s="354"/>
      <c r="AE693" s="354"/>
      <c r="AF693" s="354"/>
      <c r="AG693" s="354"/>
      <c r="AH693" s="354"/>
      <c r="AI693" s="354"/>
      <c r="AJ693" s="354"/>
      <c r="AK693" s="354"/>
      <c r="AL693" s="354"/>
      <c r="AM693" s="354"/>
      <c r="AN693" s="354"/>
      <c r="AO693" s="354"/>
      <c r="AP693" s="354"/>
      <c r="AQ693" s="354"/>
      <c r="AR693" s="354"/>
      <c r="AS693" s="354"/>
      <c r="AT693" s="354"/>
      <c r="AU693" s="354"/>
      <c r="AV693" s="354"/>
      <c r="AW693" s="354"/>
    </row>
    <row r="694" spans="1:49">
      <c r="A694" s="354"/>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c r="AA694" s="354"/>
      <c r="AB694" s="354"/>
      <c r="AC694" s="354"/>
      <c r="AD694" s="354"/>
      <c r="AE694" s="354"/>
      <c r="AF694" s="354"/>
      <c r="AG694" s="354"/>
      <c r="AH694" s="354"/>
      <c r="AI694" s="354"/>
      <c r="AJ694" s="354"/>
      <c r="AK694" s="354"/>
      <c r="AL694" s="354"/>
      <c r="AM694" s="354"/>
      <c r="AN694" s="354"/>
      <c r="AO694" s="354"/>
      <c r="AP694" s="354"/>
      <c r="AQ694" s="354"/>
      <c r="AR694" s="354"/>
      <c r="AS694" s="354"/>
      <c r="AT694" s="354"/>
      <c r="AU694" s="354"/>
      <c r="AV694" s="354"/>
      <c r="AW694" s="354"/>
    </row>
    <row r="695" spans="1:49">
      <c r="A695" s="354"/>
      <c r="B695" s="354"/>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c r="AA695" s="354"/>
      <c r="AB695" s="354"/>
      <c r="AC695" s="354"/>
      <c r="AD695" s="354"/>
      <c r="AE695" s="354"/>
      <c r="AF695" s="354"/>
      <c r="AG695" s="354"/>
      <c r="AH695" s="354"/>
      <c r="AI695" s="354"/>
      <c r="AJ695" s="354"/>
      <c r="AK695" s="354"/>
      <c r="AL695" s="354"/>
      <c r="AM695" s="354"/>
      <c r="AN695" s="354"/>
      <c r="AO695" s="354"/>
      <c r="AP695" s="354"/>
      <c r="AQ695" s="354"/>
      <c r="AR695" s="354"/>
      <c r="AS695" s="354"/>
      <c r="AT695" s="354"/>
      <c r="AU695" s="354"/>
      <c r="AV695" s="354"/>
      <c r="AW695" s="354"/>
    </row>
    <row r="696" spans="1:49">
      <c r="A696" s="354"/>
      <c r="B696" s="354"/>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c r="AA696" s="354"/>
      <c r="AB696" s="354"/>
      <c r="AC696" s="354"/>
      <c r="AD696" s="354"/>
      <c r="AE696" s="354"/>
      <c r="AF696" s="354"/>
      <c r="AG696" s="354"/>
      <c r="AH696" s="354"/>
      <c r="AI696" s="354"/>
      <c r="AJ696" s="354"/>
      <c r="AK696" s="354"/>
      <c r="AL696" s="354"/>
      <c r="AM696" s="354"/>
      <c r="AN696" s="354"/>
      <c r="AO696" s="354"/>
      <c r="AP696" s="354"/>
      <c r="AQ696" s="354"/>
      <c r="AR696" s="354"/>
      <c r="AS696" s="354"/>
      <c r="AT696" s="354"/>
      <c r="AU696" s="354"/>
      <c r="AV696" s="354"/>
      <c r="AW696" s="354"/>
    </row>
    <row r="697" spans="1:49">
      <c r="A697" s="354"/>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c r="AA697" s="354"/>
      <c r="AB697" s="354"/>
      <c r="AC697" s="354"/>
      <c r="AD697" s="354"/>
      <c r="AE697" s="354"/>
      <c r="AF697" s="354"/>
      <c r="AG697" s="354"/>
      <c r="AH697" s="354"/>
      <c r="AI697" s="354"/>
      <c r="AJ697" s="354"/>
      <c r="AK697" s="354"/>
      <c r="AL697" s="354"/>
      <c r="AM697" s="354"/>
      <c r="AN697" s="354"/>
      <c r="AO697" s="354"/>
      <c r="AP697" s="354"/>
      <c r="AQ697" s="354"/>
      <c r="AR697" s="354"/>
      <c r="AS697" s="354"/>
      <c r="AT697" s="354"/>
      <c r="AU697" s="354"/>
      <c r="AV697" s="354"/>
      <c r="AW697" s="354"/>
    </row>
    <row r="698" spans="1:49">
      <c r="A698" s="354"/>
      <c r="B698" s="35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row>
    <row r="699" spans="1:49">
      <c r="A699" s="354"/>
      <c r="B699" s="354"/>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Y699" s="354"/>
      <c r="Z699" s="354"/>
      <c r="AA699" s="354"/>
      <c r="AB699" s="354"/>
      <c r="AC699" s="354"/>
      <c r="AD699" s="354"/>
      <c r="AE699" s="354"/>
      <c r="AF699" s="354"/>
      <c r="AG699" s="354"/>
      <c r="AH699" s="354"/>
      <c r="AI699" s="354"/>
      <c r="AJ699" s="354"/>
      <c r="AK699" s="354"/>
      <c r="AL699" s="354"/>
      <c r="AM699" s="354"/>
      <c r="AN699" s="354"/>
      <c r="AO699" s="354"/>
      <c r="AP699" s="354"/>
      <c r="AQ699" s="354"/>
      <c r="AR699" s="354"/>
      <c r="AS699" s="354"/>
      <c r="AT699" s="354"/>
      <c r="AU699" s="354"/>
      <c r="AV699" s="354"/>
      <c r="AW699" s="354"/>
    </row>
    <row r="700" spans="1:49">
      <c r="A700" s="354"/>
      <c r="B700" s="354"/>
      <c r="C700" s="354"/>
      <c r="D700" s="354"/>
      <c r="E700" s="354"/>
      <c r="F700" s="354"/>
      <c r="G700" s="354"/>
      <c r="H700" s="354"/>
      <c r="I700" s="354"/>
      <c r="J700" s="354"/>
      <c r="K700" s="354"/>
      <c r="L700" s="354"/>
      <c r="M700" s="354"/>
      <c r="N700" s="354"/>
      <c r="O700" s="354"/>
      <c r="P700" s="354"/>
      <c r="Q700" s="354"/>
      <c r="R700" s="354"/>
      <c r="S700" s="354"/>
      <c r="T700" s="354"/>
      <c r="U700" s="354"/>
      <c r="V700" s="354"/>
      <c r="W700" s="354"/>
      <c r="X700" s="354"/>
      <c r="Y700" s="354"/>
      <c r="Z700" s="354"/>
      <c r="AA700" s="354"/>
      <c r="AB700" s="354"/>
      <c r="AC700" s="354"/>
      <c r="AD700" s="354"/>
      <c r="AE700" s="354"/>
      <c r="AF700" s="354"/>
      <c r="AG700" s="354"/>
      <c r="AH700" s="354"/>
      <c r="AI700" s="354"/>
      <c r="AJ700" s="354"/>
      <c r="AK700" s="354"/>
      <c r="AL700" s="354"/>
      <c r="AM700" s="354"/>
      <c r="AN700" s="354"/>
      <c r="AO700" s="354"/>
      <c r="AP700" s="354"/>
      <c r="AQ700" s="354"/>
      <c r="AR700" s="354"/>
      <c r="AS700" s="354"/>
      <c r="AT700" s="354"/>
      <c r="AU700" s="354"/>
      <c r="AV700" s="354"/>
      <c r="AW700" s="354"/>
    </row>
    <row r="701" spans="1:49">
      <c r="A701" s="354"/>
      <c r="B701" s="354"/>
      <c r="C701" s="354"/>
      <c r="D701" s="354"/>
      <c r="E701" s="354"/>
      <c r="F701" s="354"/>
      <c r="G701" s="354"/>
      <c r="H701" s="354"/>
      <c r="I701" s="354"/>
      <c r="J701" s="354"/>
      <c r="K701" s="354"/>
      <c r="L701" s="354"/>
      <c r="M701" s="354"/>
      <c r="N701" s="354"/>
      <c r="O701" s="354"/>
      <c r="P701" s="354"/>
      <c r="Q701" s="354"/>
      <c r="R701" s="354"/>
      <c r="S701" s="354"/>
      <c r="T701" s="354"/>
      <c r="U701" s="354"/>
      <c r="V701" s="354"/>
      <c r="W701" s="354"/>
      <c r="X701" s="354"/>
      <c r="Y701" s="354"/>
      <c r="Z701" s="354"/>
      <c r="AA701" s="354"/>
      <c r="AB701" s="354"/>
      <c r="AC701" s="354"/>
      <c r="AD701" s="354"/>
      <c r="AE701" s="354"/>
      <c r="AF701" s="354"/>
      <c r="AG701" s="354"/>
      <c r="AH701" s="354"/>
      <c r="AI701" s="354"/>
      <c r="AJ701" s="354"/>
      <c r="AK701" s="354"/>
      <c r="AL701" s="354"/>
      <c r="AM701" s="354"/>
      <c r="AN701" s="354"/>
      <c r="AO701" s="354"/>
      <c r="AP701" s="354"/>
      <c r="AQ701" s="354"/>
      <c r="AR701" s="354"/>
      <c r="AS701" s="354"/>
      <c r="AT701" s="354"/>
      <c r="AU701" s="354"/>
      <c r="AV701" s="354"/>
      <c r="AW701" s="354"/>
    </row>
    <row r="702" spans="1:49">
      <c r="A702" s="354"/>
      <c r="B702" s="354"/>
      <c r="C702" s="354"/>
      <c r="D702" s="354"/>
      <c r="E702" s="354"/>
      <c r="F702" s="354"/>
      <c r="G702" s="354"/>
      <c r="H702" s="354"/>
      <c r="I702" s="354"/>
      <c r="J702" s="354"/>
      <c r="K702" s="354"/>
      <c r="L702" s="354"/>
      <c r="M702" s="354"/>
      <c r="N702" s="354"/>
      <c r="O702" s="354"/>
      <c r="P702" s="354"/>
      <c r="Q702" s="354"/>
      <c r="R702" s="354"/>
      <c r="S702" s="354"/>
      <c r="T702" s="354"/>
      <c r="U702" s="354"/>
      <c r="V702" s="354"/>
      <c r="W702" s="354"/>
      <c r="X702" s="354"/>
      <c r="Y702" s="354"/>
      <c r="Z702" s="354"/>
      <c r="AA702" s="354"/>
      <c r="AB702" s="354"/>
      <c r="AC702" s="354"/>
      <c r="AD702" s="354"/>
      <c r="AE702" s="354"/>
      <c r="AF702" s="354"/>
      <c r="AG702" s="354"/>
      <c r="AH702" s="354"/>
      <c r="AI702" s="354"/>
      <c r="AJ702" s="354"/>
      <c r="AK702" s="354"/>
      <c r="AL702" s="354"/>
      <c r="AM702" s="354"/>
      <c r="AN702" s="354"/>
      <c r="AO702" s="354"/>
      <c r="AP702" s="354"/>
      <c r="AQ702" s="354"/>
      <c r="AR702" s="354"/>
      <c r="AS702" s="354"/>
      <c r="AT702" s="354"/>
      <c r="AU702" s="354"/>
      <c r="AV702" s="354"/>
      <c r="AW702" s="354"/>
    </row>
    <row r="703" spans="1:49">
      <c r="A703" s="354"/>
      <c r="B703" s="354"/>
      <c r="C703" s="354"/>
      <c r="D703" s="354"/>
      <c r="E703" s="354"/>
      <c r="F703" s="354"/>
      <c r="G703" s="354"/>
      <c r="H703" s="354"/>
      <c r="I703" s="354"/>
      <c r="J703" s="354"/>
      <c r="K703" s="354"/>
      <c r="L703" s="354"/>
      <c r="M703" s="354"/>
      <c r="N703" s="354"/>
      <c r="O703" s="354"/>
      <c r="P703" s="354"/>
      <c r="Q703" s="354"/>
      <c r="R703" s="354"/>
      <c r="S703" s="354"/>
      <c r="T703" s="354"/>
      <c r="U703" s="354"/>
      <c r="V703" s="354"/>
      <c r="W703" s="354"/>
      <c r="X703" s="354"/>
      <c r="Y703" s="354"/>
      <c r="Z703" s="354"/>
      <c r="AA703" s="354"/>
      <c r="AB703" s="354"/>
      <c r="AC703" s="354"/>
      <c r="AD703" s="354"/>
      <c r="AE703" s="354"/>
      <c r="AF703" s="354"/>
      <c r="AG703" s="354"/>
      <c r="AH703" s="354"/>
      <c r="AI703" s="354"/>
      <c r="AJ703" s="354"/>
      <c r="AK703" s="354"/>
      <c r="AL703" s="354"/>
      <c r="AM703" s="354"/>
      <c r="AN703" s="354"/>
      <c r="AO703" s="354"/>
      <c r="AP703" s="354"/>
      <c r="AQ703" s="354"/>
      <c r="AR703" s="354"/>
      <c r="AS703" s="354"/>
      <c r="AT703" s="354"/>
      <c r="AU703" s="354"/>
      <c r="AV703" s="354"/>
      <c r="AW703" s="354"/>
    </row>
    <row r="704" spans="1:49">
      <c r="A704" s="354"/>
      <c r="B704" s="354"/>
      <c r="C704" s="354"/>
      <c r="D704" s="354"/>
      <c r="E704" s="354"/>
      <c r="F704" s="354"/>
      <c r="G704" s="354"/>
      <c r="H704" s="354"/>
      <c r="I704" s="354"/>
      <c r="J704" s="354"/>
      <c r="K704" s="354"/>
      <c r="L704" s="354"/>
      <c r="M704" s="354"/>
      <c r="N704" s="354"/>
      <c r="O704" s="354"/>
      <c r="P704" s="354"/>
      <c r="Q704" s="354"/>
      <c r="R704" s="354"/>
      <c r="S704" s="354"/>
      <c r="T704" s="354"/>
      <c r="U704" s="354"/>
      <c r="V704" s="354"/>
      <c r="W704" s="354"/>
      <c r="X704" s="354"/>
      <c r="Y704" s="354"/>
      <c r="Z704" s="354"/>
      <c r="AA704" s="354"/>
      <c r="AB704" s="354"/>
      <c r="AC704" s="354"/>
      <c r="AD704" s="354"/>
      <c r="AE704" s="354"/>
      <c r="AF704" s="354"/>
      <c r="AG704" s="354"/>
      <c r="AH704" s="354"/>
      <c r="AI704" s="354"/>
      <c r="AJ704" s="354"/>
      <c r="AK704" s="354"/>
      <c r="AL704" s="354"/>
      <c r="AM704" s="354"/>
      <c r="AN704" s="354"/>
      <c r="AO704" s="354"/>
      <c r="AP704" s="354"/>
      <c r="AQ704" s="354"/>
      <c r="AR704" s="354"/>
      <c r="AS704" s="354"/>
      <c r="AT704" s="354"/>
      <c r="AU704" s="354"/>
      <c r="AV704" s="354"/>
      <c r="AW704" s="354"/>
    </row>
    <row r="705" spans="1:49">
      <c r="A705" s="354"/>
      <c r="B705" s="354"/>
      <c r="C705" s="354"/>
      <c r="D705" s="354"/>
      <c r="E705" s="354"/>
      <c r="F705" s="354"/>
      <c r="G705" s="354"/>
      <c r="H705" s="354"/>
      <c r="I705" s="354"/>
      <c r="J705" s="354"/>
      <c r="K705" s="354"/>
      <c r="L705" s="354"/>
      <c r="M705" s="354"/>
      <c r="N705" s="354"/>
      <c r="O705" s="354"/>
      <c r="P705" s="354"/>
      <c r="Q705" s="354"/>
      <c r="R705" s="354"/>
      <c r="S705" s="354"/>
      <c r="T705" s="354"/>
      <c r="U705" s="354"/>
      <c r="V705" s="354"/>
      <c r="W705" s="354"/>
      <c r="X705" s="354"/>
      <c r="Y705" s="354"/>
      <c r="Z705" s="354"/>
      <c r="AA705" s="354"/>
      <c r="AB705" s="354"/>
      <c r="AC705" s="354"/>
      <c r="AD705" s="354"/>
      <c r="AE705" s="354"/>
      <c r="AF705" s="354"/>
      <c r="AG705" s="354"/>
      <c r="AH705" s="354"/>
      <c r="AI705" s="354"/>
      <c r="AJ705" s="354"/>
      <c r="AK705" s="354"/>
      <c r="AL705" s="354"/>
      <c r="AM705" s="354"/>
      <c r="AN705" s="354"/>
      <c r="AO705" s="354"/>
      <c r="AP705" s="354"/>
      <c r="AQ705" s="354"/>
      <c r="AR705" s="354"/>
      <c r="AS705" s="354"/>
      <c r="AT705" s="354"/>
      <c r="AU705" s="354"/>
      <c r="AV705" s="354"/>
      <c r="AW705" s="354"/>
    </row>
    <row r="706" spans="1:49">
      <c r="A706" s="354"/>
      <c r="B706" s="354"/>
      <c r="C706" s="354"/>
      <c r="D706" s="354"/>
      <c r="E706" s="354"/>
      <c r="F706" s="354"/>
      <c r="G706" s="354"/>
      <c r="H706" s="354"/>
      <c r="I706" s="354"/>
      <c r="J706" s="354"/>
      <c r="K706" s="354"/>
      <c r="L706" s="354"/>
      <c r="M706" s="354"/>
      <c r="N706" s="354"/>
      <c r="O706" s="354"/>
      <c r="P706" s="354"/>
      <c r="Q706" s="354"/>
      <c r="R706" s="354"/>
      <c r="S706" s="354"/>
      <c r="T706" s="354"/>
      <c r="U706" s="354"/>
      <c r="V706" s="354"/>
      <c r="W706" s="354"/>
      <c r="X706" s="354"/>
      <c r="Y706" s="354"/>
      <c r="Z706" s="354"/>
      <c r="AA706" s="354"/>
      <c r="AB706" s="354"/>
      <c r="AC706" s="354"/>
      <c r="AD706" s="354"/>
      <c r="AE706" s="354"/>
      <c r="AF706" s="354"/>
      <c r="AG706" s="354"/>
      <c r="AH706" s="354"/>
      <c r="AI706" s="354"/>
      <c r="AJ706" s="354"/>
      <c r="AK706" s="354"/>
      <c r="AL706" s="354"/>
      <c r="AM706" s="354"/>
      <c r="AN706" s="354"/>
      <c r="AO706" s="354"/>
      <c r="AP706" s="354"/>
      <c r="AQ706" s="354"/>
      <c r="AR706" s="354"/>
      <c r="AS706" s="354"/>
      <c r="AT706" s="354"/>
      <c r="AU706" s="354"/>
      <c r="AV706" s="354"/>
      <c r="AW706" s="354"/>
    </row>
    <row r="707" spans="1:49">
      <c r="A707" s="354"/>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c r="AA707" s="354"/>
      <c r="AB707" s="354"/>
      <c r="AC707" s="354"/>
      <c r="AD707" s="354"/>
      <c r="AE707" s="354"/>
      <c r="AF707" s="354"/>
      <c r="AG707" s="354"/>
      <c r="AH707" s="354"/>
      <c r="AI707" s="354"/>
      <c r="AJ707" s="354"/>
      <c r="AK707" s="354"/>
      <c r="AL707" s="354"/>
      <c r="AM707" s="354"/>
      <c r="AN707" s="354"/>
      <c r="AO707" s="354"/>
      <c r="AP707" s="354"/>
      <c r="AQ707" s="354"/>
      <c r="AR707" s="354"/>
      <c r="AS707" s="354"/>
      <c r="AT707" s="354"/>
      <c r="AU707" s="354"/>
      <c r="AV707" s="354"/>
      <c r="AW707" s="354"/>
    </row>
    <row r="708" spans="1:49">
      <c r="A708" s="354"/>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c r="AA708" s="354"/>
      <c r="AB708" s="354"/>
      <c r="AC708" s="354"/>
      <c r="AD708" s="354"/>
      <c r="AE708" s="354"/>
      <c r="AF708" s="354"/>
      <c r="AG708" s="354"/>
      <c r="AH708" s="354"/>
      <c r="AI708" s="354"/>
      <c r="AJ708" s="354"/>
      <c r="AK708" s="354"/>
      <c r="AL708" s="354"/>
      <c r="AM708" s="354"/>
      <c r="AN708" s="354"/>
      <c r="AO708" s="354"/>
      <c r="AP708" s="354"/>
      <c r="AQ708" s="354"/>
      <c r="AR708" s="354"/>
      <c r="AS708" s="354"/>
      <c r="AT708" s="354"/>
      <c r="AU708" s="354"/>
      <c r="AV708" s="354"/>
      <c r="AW708" s="354"/>
    </row>
    <row r="709" spans="1:49">
      <c r="A709" s="354"/>
      <c r="B709" s="354"/>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c r="AA709" s="354"/>
      <c r="AB709" s="354"/>
      <c r="AC709" s="354"/>
      <c r="AD709" s="354"/>
      <c r="AE709" s="354"/>
      <c r="AF709" s="354"/>
      <c r="AG709" s="354"/>
      <c r="AH709" s="354"/>
      <c r="AI709" s="354"/>
      <c r="AJ709" s="354"/>
      <c r="AK709" s="354"/>
      <c r="AL709" s="354"/>
      <c r="AM709" s="354"/>
      <c r="AN709" s="354"/>
      <c r="AO709" s="354"/>
      <c r="AP709" s="354"/>
      <c r="AQ709" s="354"/>
      <c r="AR709" s="354"/>
      <c r="AS709" s="354"/>
      <c r="AT709" s="354"/>
      <c r="AU709" s="354"/>
      <c r="AV709" s="354"/>
      <c r="AW709" s="354"/>
    </row>
    <row r="710" spans="1:49">
      <c r="A710" s="354"/>
      <c r="B710" s="35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row>
    <row r="711" spans="1:49">
      <c r="A711" s="354"/>
      <c r="B711" s="354"/>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c r="AA711" s="354"/>
      <c r="AB711" s="354"/>
      <c r="AC711" s="354"/>
      <c r="AD711" s="354"/>
      <c r="AE711" s="354"/>
      <c r="AF711" s="354"/>
      <c r="AG711" s="354"/>
      <c r="AH711" s="354"/>
      <c r="AI711" s="354"/>
      <c r="AJ711" s="354"/>
      <c r="AK711" s="354"/>
      <c r="AL711" s="354"/>
      <c r="AM711" s="354"/>
      <c r="AN711" s="354"/>
      <c r="AO711" s="354"/>
      <c r="AP711" s="354"/>
      <c r="AQ711" s="354"/>
      <c r="AR711" s="354"/>
      <c r="AS711" s="354"/>
      <c r="AT711" s="354"/>
      <c r="AU711" s="354"/>
      <c r="AV711" s="354"/>
      <c r="AW711" s="354"/>
    </row>
    <row r="712" spans="1:49">
      <c r="A712" s="354"/>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54"/>
      <c r="AE712" s="354"/>
      <c r="AF712" s="354"/>
      <c r="AG712" s="354"/>
      <c r="AH712" s="354"/>
      <c r="AI712" s="354"/>
      <c r="AJ712" s="354"/>
      <c r="AK712" s="354"/>
      <c r="AL712" s="354"/>
      <c r="AM712" s="354"/>
      <c r="AN712" s="354"/>
      <c r="AO712" s="354"/>
      <c r="AP712" s="354"/>
      <c r="AQ712" s="354"/>
      <c r="AR712" s="354"/>
      <c r="AS712" s="354"/>
      <c r="AT712" s="354"/>
      <c r="AU712" s="354"/>
      <c r="AV712" s="354"/>
      <c r="AW712" s="354"/>
    </row>
    <row r="713" spans="1:49">
      <c r="A713" s="354"/>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c r="AA713" s="354"/>
      <c r="AB713" s="354"/>
      <c r="AC713" s="354"/>
      <c r="AD713" s="354"/>
      <c r="AE713" s="354"/>
      <c r="AF713" s="354"/>
      <c r="AG713" s="354"/>
      <c r="AH713" s="354"/>
      <c r="AI713" s="354"/>
      <c r="AJ713" s="354"/>
      <c r="AK713" s="354"/>
      <c r="AL713" s="354"/>
      <c r="AM713" s="354"/>
      <c r="AN713" s="354"/>
      <c r="AO713" s="354"/>
      <c r="AP713" s="354"/>
      <c r="AQ713" s="354"/>
      <c r="AR713" s="354"/>
      <c r="AS713" s="354"/>
      <c r="AT713" s="354"/>
      <c r="AU713" s="354"/>
      <c r="AV713" s="354"/>
      <c r="AW713" s="354"/>
    </row>
    <row r="714" spans="1:49">
      <c r="A714" s="354"/>
      <c r="B714" s="354"/>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c r="AA714" s="354"/>
      <c r="AB714" s="354"/>
      <c r="AC714" s="354"/>
      <c r="AD714" s="354"/>
      <c r="AE714" s="354"/>
      <c r="AF714" s="354"/>
      <c r="AG714" s="354"/>
      <c r="AH714" s="354"/>
      <c r="AI714" s="354"/>
      <c r="AJ714" s="354"/>
      <c r="AK714" s="354"/>
      <c r="AL714" s="354"/>
      <c r="AM714" s="354"/>
      <c r="AN714" s="354"/>
      <c r="AO714" s="354"/>
      <c r="AP714" s="354"/>
      <c r="AQ714" s="354"/>
      <c r="AR714" s="354"/>
      <c r="AS714" s="354"/>
      <c r="AT714" s="354"/>
      <c r="AU714" s="354"/>
      <c r="AV714" s="354"/>
      <c r="AW714" s="354"/>
    </row>
    <row r="715" spans="1:49">
      <c r="A715" s="354"/>
      <c r="B715" s="354"/>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c r="AA715" s="354"/>
      <c r="AB715" s="354"/>
      <c r="AC715" s="354"/>
      <c r="AD715" s="354"/>
      <c r="AE715" s="354"/>
      <c r="AF715" s="354"/>
      <c r="AG715" s="354"/>
      <c r="AH715" s="354"/>
      <c r="AI715" s="354"/>
      <c r="AJ715" s="354"/>
      <c r="AK715" s="354"/>
      <c r="AL715" s="354"/>
      <c r="AM715" s="354"/>
      <c r="AN715" s="354"/>
      <c r="AO715" s="354"/>
      <c r="AP715" s="354"/>
      <c r="AQ715" s="354"/>
      <c r="AR715" s="354"/>
      <c r="AS715" s="354"/>
      <c r="AT715" s="354"/>
      <c r="AU715" s="354"/>
      <c r="AV715" s="354"/>
      <c r="AW715" s="354"/>
    </row>
    <row r="716" spans="1:49">
      <c r="A716" s="354"/>
      <c r="B716" s="354"/>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c r="AA716" s="354"/>
      <c r="AB716" s="354"/>
      <c r="AC716" s="354"/>
      <c r="AD716" s="354"/>
      <c r="AE716" s="354"/>
      <c r="AF716" s="354"/>
      <c r="AG716" s="354"/>
      <c r="AH716" s="354"/>
      <c r="AI716" s="354"/>
      <c r="AJ716" s="354"/>
      <c r="AK716" s="354"/>
      <c r="AL716" s="354"/>
      <c r="AM716" s="354"/>
      <c r="AN716" s="354"/>
      <c r="AO716" s="354"/>
      <c r="AP716" s="354"/>
      <c r="AQ716" s="354"/>
      <c r="AR716" s="354"/>
      <c r="AS716" s="354"/>
      <c r="AT716" s="354"/>
      <c r="AU716" s="354"/>
      <c r="AV716" s="354"/>
      <c r="AW716" s="354"/>
    </row>
    <row r="717" spans="1:49">
      <c r="A717" s="354"/>
      <c r="B717" s="354"/>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c r="AA717" s="354"/>
      <c r="AB717" s="354"/>
      <c r="AC717" s="354"/>
      <c r="AD717" s="354"/>
      <c r="AE717" s="354"/>
      <c r="AF717" s="354"/>
      <c r="AG717" s="354"/>
      <c r="AH717" s="354"/>
      <c r="AI717" s="354"/>
      <c r="AJ717" s="354"/>
      <c r="AK717" s="354"/>
      <c r="AL717" s="354"/>
      <c r="AM717" s="354"/>
      <c r="AN717" s="354"/>
      <c r="AO717" s="354"/>
      <c r="AP717" s="354"/>
      <c r="AQ717" s="354"/>
      <c r="AR717" s="354"/>
      <c r="AS717" s="354"/>
      <c r="AT717" s="354"/>
      <c r="AU717" s="354"/>
      <c r="AV717" s="354"/>
      <c r="AW717" s="354"/>
    </row>
    <row r="718" spans="1:49">
      <c r="A718" s="354"/>
      <c r="B718" s="354"/>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c r="AA718" s="354"/>
      <c r="AB718" s="354"/>
      <c r="AC718" s="354"/>
      <c r="AD718" s="354"/>
      <c r="AE718" s="354"/>
      <c r="AF718" s="354"/>
      <c r="AG718" s="354"/>
      <c r="AH718" s="354"/>
      <c r="AI718" s="354"/>
      <c r="AJ718" s="354"/>
      <c r="AK718" s="354"/>
      <c r="AL718" s="354"/>
      <c r="AM718" s="354"/>
      <c r="AN718" s="354"/>
      <c r="AO718" s="354"/>
      <c r="AP718" s="354"/>
      <c r="AQ718" s="354"/>
      <c r="AR718" s="354"/>
      <c r="AS718" s="354"/>
      <c r="AT718" s="354"/>
      <c r="AU718" s="354"/>
      <c r="AV718" s="354"/>
      <c r="AW718" s="354"/>
    </row>
    <row r="719" spans="1:49">
      <c r="A719" s="354"/>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c r="AA719" s="354"/>
      <c r="AB719" s="354"/>
      <c r="AC719" s="354"/>
      <c r="AD719" s="354"/>
      <c r="AE719" s="354"/>
      <c r="AF719" s="354"/>
      <c r="AG719" s="354"/>
      <c r="AH719" s="354"/>
      <c r="AI719" s="354"/>
      <c r="AJ719" s="354"/>
      <c r="AK719" s="354"/>
      <c r="AL719" s="354"/>
      <c r="AM719" s="354"/>
      <c r="AN719" s="354"/>
      <c r="AO719" s="354"/>
      <c r="AP719" s="354"/>
      <c r="AQ719" s="354"/>
      <c r="AR719" s="354"/>
      <c r="AS719" s="354"/>
      <c r="AT719" s="354"/>
      <c r="AU719" s="354"/>
      <c r="AV719" s="354"/>
      <c r="AW719" s="354"/>
    </row>
    <row r="720" spans="1:49">
      <c r="A720" s="354"/>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c r="AA720" s="354"/>
      <c r="AB720" s="354"/>
      <c r="AC720" s="354"/>
      <c r="AD720" s="354"/>
      <c r="AE720" s="354"/>
      <c r="AF720" s="354"/>
      <c r="AG720" s="354"/>
      <c r="AH720" s="354"/>
      <c r="AI720" s="354"/>
      <c r="AJ720" s="354"/>
      <c r="AK720" s="354"/>
      <c r="AL720" s="354"/>
      <c r="AM720" s="354"/>
      <c r="AN720" s="354"/>
      <c r="AO720" s="354"/>
      <c r="AP720" s="354"/>
      <c r="AQ720" s="354"/>
      <c r="AR720" s="354"/>
      <c r="AS720" s="354"/>
      <c r="AT720" s="354"/>
      <c r="AU720" s="354"/>
      <c r="AV720" s="354"/>
      <c r="AW720" s="354"/>
    </row>
    <row r="721" spans="1:49">
      <c r="A721" s="354"/>
      <c r="B721" s="354"/>
      <c r="C721" s="354"/>
      <c r="D721" s="354"/>
      <c r="E721" s="354"/>
      <c r="F721" s="354"/>
      <c r="G721" s="354"/>
      <c r="H721" s="354"/>
      <c r="I721" s="354"/>
      <c r="J721" s="354"/>
      <c r="K721" s="354"/>
      <c r="L721" s="354"/>
      <c r="M721" s="354"/>
      <c r="N721" s="354"/>
      <c r="O721" s="354"/>
      <c r="P721" s="354"/>
      <c r="Q721" s="354"/>
      <c r="R721" s="354"/>
      <c r="S721" s="354"/>
      <c r="T721" s="354"/>
      <c r="U721" s="354"/>
      <c r="V721" s="354"/>
      <c r="W721" s="354"/>
      <c r="X721" s="354"/>
      <c r="Y721" s="354"/>
      <c r="Z721" s="354"/>
      <c r="AA721" s="354"/>
      <c r="AB721" s="354"/>
      <c r="AC721" s="354"/>
      <c r="AD721" s="354"/>
      <c r="AE721" s="354"/>
      <c r="AF721" s="354"/>
      <c r="AG721" s="354"/>
      <c r="AH721" s="354"/>
      <c r="AI721" s="354"/>
      <c r="AJ721" s="354"/>
      <c r="AK721" s="354"/>
      <c r="AL721" s="354"/>
      <c r="AM721" s="354"/>
      <c r="AN721" s="354"/>
      <c r="AO721" s="354"/>
      <c r="AP721" s="354"/>
      <c r="AQ721" s="354"/>
      <c r="AR721" s="354"/>
      <c r="AS721" s="354"/>
      <c r="AT721" s="354"/>
      <c r="AU721" s="354"/>
      <c r="AV721" s="354"/>
      <c r="AW721" s="354"/>
    </row>
    <row r="722" spans="1:49">
      <c r="A722" s="354"/>
      <c r="B722" s="354"/>
      <c r="C722" s="354"/>
      <c r="D722" s="354"/>
      <c r="E722" s="354"/>
      <c r="F722" s="354"/>
      <c r="G722" s="354"/>
      <c r="H722" s="354"/>
      <c r="I722" s="354"/>
      <c r="J722" s="354"/>
      <c r="K722" s="354"/>
      <c r="L722" s="354"/>
      <c r="M722" s="354"/>
      <c r="N722" s="354"/>
      <c r="O722" s="354"/>
      <c r="P722" s="354"/>
      <c r="Q722" s="354"/>
      <c r="R722" s="354"/>
      <c r="S722" s="354"/>
      <c r="T722" s="354"/>
      <c r="U722" s="354"/>
      <c r="V722" s="354"/>
      <c r="W722" s="354"/>
      <c r="X722" s="354"/>
      <c r="Y722" s="354"/>
      <c r="Z722" s="354"/>
      <c r="AA722" s="354"/>
      <c r="AB722" s="354"/>
      <c r="AC722" s="354"/>
      <c r="AD722" s="354"/>
      <c r="AE722" s="354"/>
      <c r="AF722" s="354"/>
      <c r="AG722" s="354"/>
      <c r="AH722" s="354"/>
      <c r="AI722" s="354"/>
      <c r="AJ722" s="354"/>
      <c r="AK722" s="354"/>
      <c r="AL722" s="354"/>
      <c r="AM722" s="354"/>
      <c r="AN722" s="354"/>
      <c r="AO722" s="354"/>
      <c r="AP722" s="354"/>
      <c r="AQ722" s="354"/>
      <c r="AR722" s="354"/>
      <c r="AS722" s="354"/>
      <c r="AT722" s="354"/>
      <c r="AU722" s="354"/>
      <c r="AV722" s="354"/>
      <c r="AW722" s="354"/>
    </row>
    <row r="723" spans="1:49">
      <c r="A723" s="354"/>
      <c r="B723" s="354"/>
      <c r="C723" s="354"/>
      <c r="D723" s="354"/>
      <c r="E723" s="354"/>
      <c r="F723" s="354"/>
      <c r="G723" s="354"/>
      <c r="H723" s="354"/>
      <c r="I723" s="354"/>
      <c r="J723" s="354"/>
      <c r="K723" s="354"/>
      <c r="L723" s="354"/>
      <c r="M723" s="354"/>
      <c r="N723" s="354"/>
      <c r="O723" s="354"/>
      <c r="P723" s="354"/>
      <c r="Q723" s="354"/>
      <c r="R723" s="354"/>
      <c r="S723" s="354"/>
      <c r="T723" s="354"/>
      <c r="U723" s="354"/>
      <c r="V723" s="354"/>
      <c r="W723" s="354"/>
      <c r="X723" s="354"/>
      <c r="Y723" s="354"/>
      <c r="Z723" s="354"/>
      <c r="AA723" s="354"/>
      <c r="AB723" s="354"/>
      <c r="AC723" s="354"/>
      <c r="AD723" s="354"/>
      <c r="AE723" s="354"/>
      <c r="AF723" s="354"/>
      <c r="AG723" s="354"/>
      <c r="AH723" s="354"/>
      <c r="AI723" s="354"/>
      <c r="AJ723" s="354"/>
      <c r="AK723" s="354"/>
      <c r="AL723" s="354"/>
      <c r="AM723" s="354"/>
      <c r="AN723" s="354"/>
      <c r="AO723" s="354"/>
      <c r="AP723" s="354"/>
      <c r="AQ723" s="354"/>
      <c r="AR723" s="354"/>
      <c r="AS723" s="354"/>
      <c r="AT723" s="354"/>
      <c r="AU723" s="354"/>
      <c r="AV723" s="354"/>
      <c r="AW723" s="354"/>
    </row>
    <row r="724" spans="1:49">
      <c r="A724" s="354"/>
      <c r="B724" s="354"/>
      <c r="C724" s="354"/>
      <c r="D724" s="354"/>
      <c r="E724" s="354"/>
      <c r="F724" s="354"/>
      <c r="G724" s="354"/>
      <c r="H724" s="354"/>
      <c r="I724" s="354"/>
      <c r="J724" s="354"/>
      <c r="K724" s="354"/>
      <c r="L724" s="354"/>
      <c r="M724" s="354"/>
      <c r="N724" s="354"/>
      <c r="O724" s="354"/>
      <c r="P724" s="354"/>
      <c r="Q724" s="354"/>
      <c r="R724" s="354"/>
      <c r="S724" s="354"/>
      <c r="T724" s="354"/>
      <c r="U724" s="354"/>
      <c r="V724" s="354"/>
      <c r="W724" s="354"/>
      <c r="X724" s="354"/>
      <c r="Y724" s="354"/>
      <c r="Z724" s="354"/>
      <c r="AA724" s="354"/>
      <c r="AB724" s="354"/>
      <c r="AC724" s="354"/>
      <c r="AD724" s="354"/>
      <c r="AE724" s="354"/>
      <c r="AF724" s="354"/>
      <c r="AG724" s="354"/>
      <c r="AH724" s="354"/>
      <c r="AI724" s="354"/>
      <c r="AJ724" s="354"/>
      <c r="AK724" s="354"/>
      <c r="AL724" s="354"/>
      <c r="AM724" s="354"/>
      <c r="AN724" s="354"/>
      <c r="AO724" s="354"/>
      <c r="AP724" s="354"/>
      <c r="AQ724" s="354"/>
      <c r="AR724" s="354"/>
      <c r="AS724" s="354"/>
      <c r="AT724" s="354"/>
      <c r="AU724" s="354"/>
      <c r="AV724" s="354"/>
      <c r="AW724" s="354"/>
    </row>
    <row r="725" spans="1:49">
      <c r="A725" s="354"/>
      <c r="B725" s="354"/>
      <c r="C725" s="354"/>
      <c r="D725" s="354"/>
      <c r="E725" s="354"/>
      <c r="F725" s="354"/>
      <c r="G725" s="354"/>
      <c r="H725" s="354"/>
      <c r="I725" s="354"/>
      <c r="J725" s="354"/>
      <c r="K725" s="354"/>
      <c r="L725" s="354"/>
      <c r="M725" s="354"/>
      <c r="N725" s="354"/>
      <c r="O725" s="354"/>
      <c r="P725" s="354"/>
      <c r="Q725" s="354"/>
      <c r="R725" s="354"/>
      <c r="S725" s="354"/>
      <c r="T725" s="354"/>
      <c r="U725" s="354"/>
      <c r="V725" s="354"/>
      <c r="W725" s="354"/>
      <c r="X725" s="354"/>
      <c r="Y725" s="354"/>
      <c r="Z725" s="354"/>
      <c r="AA725" s="354"/>
      <c r="AB725" s="354"/>
      <c r="AC725" s="354"/>
      <c r="AD725" s="354"/>
      <c r="AE725" s="354"/>
      <c r="AF725" s="354"/>
      <c r="AG725" s="354"/>
      <c r="AH725" s="354"/>
      <c r="AI725" s="354"/>
      <c r="AJ725" s="354"/>
      <c r="AK725" s="354"/>
      <c r="AL725" s="354"/>
      <c r="AM725" s="354"/>
      <c r="AN725" s="354"/>
      <c r="AO725" s="354"/>
      <c r="AP725" s="354"/>
      <c r="AQ725" s="354"/>
      <c r="AR725" s="354"/>
      <c r="AS725" s="354"/>
      <c r="AT725" s="354"/>
      <c r="AU725" s="354"/>
      <c r="AV725" s="354"/>
      <c r="AW725" s="354"/>
    </row>
    <row r="726" spans="1:49">
      <c r="A726" s="354"/>
      <c r="B726" s="354"/>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Y726" s="354"/>
      <c r="Z726" s="354"/>
      <c r="AA726" s="354"/>
      <c r="AB726" s="354"/>
      <c r="AC726" s="354"/>
      <c r="AD726" s="354"/>
      <c r="AE726" s="354"/>
      <c r="AF726" s="354"/>
      <c r="AG726" s="354"/>
      <c r="AH726" s="354"/>
      <c r="AI726" s="354"/>
      <c r="AJ726" s="354"/>
      <c r="AK726" s="354"/>
      <c r="AL726" s="354"/>
      <c r="AM726" s="354"/>
      <c r="AN726" s="354"/>
      <c r="AO726" s="354"/>
      <c r="AP726" s="354"/>
      <c r="AQ726" s="354"/>
      <c r="AR726" s="354"/>
      <c r="AS726" s="354"/>
      <c r="AT726" s="354"/>
      <c r="AU726" s="354"/>
      <c r="AV726" s="354"/>
      <c r="AW726" s="354"/>
    </row>
    <row r="727" spans="1:49">
      <c r="A727" s="354"/>
      <c r="B727" s="354"/>
      <c r="C727" s="354"/>
      <c r="D727" s="354"/>
      <c r="E727" s="354"/>
      <c r="F727" s="354"/>
      <c r="G727" s="354"/>
      <c r="H727" s="354"/>
      <c r="I727" s="354"/>
      <c r="J727" s="354"/>
      <c r="K727" s="354"/>
      <c r="L727" s="354"/>
      <c r="M727" s="354"/>
      <c r="N727" s="354"/>
      <c r="O727" s="354"/>
      <c r="P727" s="354"/>
      <c r="Q727" s="354"/>
      <c r="R727" s="354"/>
      <c r="S727" s="354"/>
      <c r="T727" s="354"/>
      <c r="U727" s="354"/>
      <c r="V727" s="354"/>
      <c r="W727" s="354"/>
      <c r="X727" s="354"/>
      <c r="Y727" s="354"/>
      <c r="Z727" s="354"/>
      <c r="AA727" s="354"/>
      <c r="AB727" s="354"/>
      <c r="AC727" s="354"/>
      <c r="AD727" s="354"/>
      <c r="AE727" s="354"/>
      <c r="AF727" s="354"/>
      <c r="AG727" s="354"/>
      <c r="AH727" s="354"/>
      <c r="AI727" s="354"/>
      <c r="AJ727" s="354"/>
      <c r="AK727" s="354"/>
      <c r="AL727" s="354"/>
      <c r="AM727" s="354"/>
      <c r="AN727" s="354"/>
      <c r="AO727" s="354"/>
      <c r="AP727" s="354"/>
      <c r="AQ727" s="354"/>
      <c r="AR727" s="354"/>
      <c r="AS727" s="354"/>
      <c r="AT727" s="354"/>
      <c r="AU727" s="354"/>
      <c r="AV727" s="354"/>
      <c r="AW727" s="354"/>
    </row>
    <row r="728" spans="1:49">
      <c r="A728" s="354"/>
      <c r="B728" s="354"/>
      <c r="C728" s="354"/>
      <c r="D728" s="354"/>
      <c r="E728" s="354"/>
      <c r="F728" s="354"/>
      <c r="G728" s="354"/>
      <c r="H728" s="354"/>
      <c r="I728" s="354"/>
      <c r="J728" s="354"/>
      <c r="K728" s="354"/>
      <c r="L728" s="354"/>
      <c r="M728" s="354"/>
      <c r="N728" s="354"/>
      <c r="O728" s="354"/>
      <c r="P728" s="354"/>
      <c r="Q728" s="354"/>
      <c r="R728" s="354"/>
      <c r="S728" s="354"/>
      <c r="T728" s="354"/>
      <c r="U728" s="354"/>
      <c r="V728" s="354"/>
      <c r="W728" s="354"/>
      <c r="X728" s="354"/>
      <c r="Y728" s="354"/>
      <c r="Z728" s="354"/>
      <c r="AA728" s="354"/>
      <c r="AB728" s="354"/>
      <c r="AC728" s="354"/>
      <c r="AD728" s="354"/>
      <c r="AE728" s="354"/>
      <c r="AF728" s="354"/>
      <c r="AG728" s="354"/>
      <c r="AH728" s="354"/>
      <c r="AI728" s="354"/>
      <c r="AJ728" s="354"/>
      <c r="AK728" s="354"/>
      <c r="AL728" s="354"/>
      <c r="AM728" s="354"/>
      <c r="AN728" s="354"/>
      <c r="AO728" s="354"/>
      <c r="AP728" s="354"/>
      <c r="AQ728" s="354"/>
      <c r="AR728" s="354"/>
      <c r="AS728" s="354"/>
      <c r="AT728" s="354"/>
      <c r="AU728" s="354"/>
      <c r="AV728" s="354"/>
      <c r="AW728" s="354"/>
    </row>
    <row r="729" spans="1:49">
      <c r="A729" s="354"/>
      <c r="B729" s="354"/>
      <c r="C729" s="354"/>
      <c r="D729" s="354"/>
      <c r="E729" s="354"/>
      <c r="F729" s="354"/>
      <c r="G729" s="354"/>
      <c r="H729" s="354"/>
      <c r="I729" s="354"/>
      <c r="J729" s="354"/>
      <c r="K729" s="354"/>
      <c r="L729" s="354"/>
      <c r="M729" s="354"/>
      <c r="N729" s="354"/>
      <c r="O729" s="354"/>
      <c r="P729" s="354"/>
      <c r="Q729" s="354"/>
      <c r="R729" s="354"/>
      <c r="S729" s="354"/>
      <c r="T729" s="354"/>
      <c r="U729" s="354"/>
      <c r="V729" s="354"/>
      <c r="W729" s="354"/>
      <c r="X729" s="354"/>
      <c r="Y729" s="354"/>
      <c r="Z729" s="354"/>
      <c r="AA729" s="354"/>
      <c r="AB729" s="354"/>
      <c r="AC729" s="354"/>
      <c r="AD729" s="354"/>
      <c r="AE729" s="354"/>
      <c r="AF729" s="354"/>
      <c r="AG729" s="354"/>
      <c r="AH729" s="354"/>
      <c r="AI729" s="354"/>
      <c r="AJ729" s="354"/>
      <c r="AK729" s="354"/>
      <c r="AL729" s="354"/>
      <c r="AM729" s="354"/>
      <c r="AN729" s="354"/>
      <c r="AO729" s="354"/>
      <c r="AP729" s="354"/>
      <c r="AQ729" s="354"/>
      <c r="AR729" s="354"/>
      <c r="AS729" s="354"/>
      <c r="AT729" s="354"/>
      <c r="AU729" s="354"/>
      <c r="AV729" s="354"/>
      <c r="AW729" s="354"/>
    </row>
    <row r="730" spans="1:49">
      <c r="A730" s="354"/>
      <c r="B730" s="354"/>
      <c r="C730" s="354"/>
      <c r="D730" s="354"/>
      <c r="E730" s="354"/>
      <c r="F730" s="354"/>
      <c r="G730" s="354"/>
      <c r="H730" s="354"/>
      <c r="I730" s="354"/>
      <c r="J730" s="354"/>
      <c r="K730" s="354"/>
      <c r="L730" s="354"/>
      <c r="M730" s="354"/>
      <c r="N730" s="354"/>
      <c r="O730" s="354"/>
      <c r="P730" s="354"/>
      <c r="Q730" s="354"/>
      <c r="R730" s="354"/>
      <c r="S730" s="354"/>
      <c r="T730" s="354"/>
      <c r="U730" s="354"/>
      <c r="V730" s="354"/>
      <c r="W730" s="354"/>
      <c r="X730" s="354"/>
      <c r="Y730" s="354"/>
      <c r="Z730" s="354"/>
      <c r="AA730" s="354"/>
      <c r="AB730" s="354"/>
      <c r="AC730" s="354"/>
      <c r="AD730" s="354"/>
      <c r="AE730" s="354"/>
      <c r="AF730" s="354"/>
      <c r="AG730" s="354"/>
      <c r="AH730" s="354"/>
      <c r="AI730" s="354"/>
      <c r="AJ730" s="354"/>
      <c r="AK730" s="354"/>
      <c r="AL730" s="354"/>
      <c r="AM730" s="354"/>
      <c r="AN730" s="354"/>
      <c r="AO730" s="354"/>
      <c r="AP730" s="354"/>
      <c r="AQ730" s="354"/>
      <c r="AR730" s="354"/>
      <c r="AS730" s="354"/>
      <c r="AT730" s="354"/>
      <c r="AU730" s="354"/>
      <c r="AV730" s="354"/>
      <c r="AW730" s="354"/>
    </row>
    <row r="731" spans="1:49">
      <c r="A731" s="354"/>
      <c r="B731" s="354"/>
      <c r="C731" s="354"/>
      <c r="D731" s="354"/>
      <c r="E731" s="354"/>
      <c r="F731" s="354"/>
      <c r="G731" s="354"/>
      <c r="H731" s="354"/>
      <c r="I731" s="354"/>
      <c r="J731" s="354"/>
      <c r="K731" s="354"/>
      <c r="L731" s="354"/>
      <c r="M731" s="354"/>
      <c r="N731" s="354"/>
      <c r="O731" s="354"/>
      <c r="P731" s="354"/>
      <c r="Q731" s="354"/>
      <c r="R731" s="354"/>
      <c r="S731" s="354"/>
      <c r="T731" s="354"/>
      <c r="U731" s="354"/>
      <c r="V731" s="354"/>
      <c r="W731" s="354"/>
      <c r="X731" s="354"/>
      <c r="Y731" s="354"/>
      <c r="Z731" s="354"/>
      <c r="AA731" s="354"/>
      <c r="AB731" s="354"/>
      <c r="AC731" s="354"/>
      <c r="AD731" s="354"/>
      <c r="AE731" s="354"/>
      <c r="AF731" s="354"/>
      <c r="AG731" s="354"/>
      <c r="AH731" s="354"/>
      <c r="AI731" s="354"/>
      <c r="AJ731" s="354"/>
      <c r="AK731" s="354"/>
      <c r="AL731" s="354"/>
      <c r="AM731" s="354"/>
      <c r="AN731" s="354"/>
      <c r="AO731" s="354"/>
      <c r="AP731" s="354"/>
      <c r="AQ731" s="354"/>
      <c r="AR731" s="354"/>
      <c r="AS731" s="354"/>
      <c r="AT731" s="354"/>
      <c r="AU731" s="354"/>
      <c r="AV731" s="354"/>
      <c r="AW731" s="354"/>
    </row>
    <row r="732" spans="1:49">
      <c r="A732" s="354"/>
      <c r="B732" s="354"/>
      <c r="C732" s="354"/>
      <c r="D732" s="354"/>
      <c r="E732" s="354"/>
      <c r="F732" s="354"/>
      <c r="G732" s="354"/>
      <c r="H732" s="354"/>
      <c r="I732" s="354"/>
      <c r="J732" s="354"/>
      <c r="K732" s="354"/>
      <c r="L732" s="354"/>
      <c r="M732" s="354"/>
      <c r="N732" s="354"/>
      <c r="O732" s="354"/>
      <c r="P732" s="354"/>
      <c r="Q732" s="354"/>
      <c r="R732" s="354"/>
      <c r="S732" s="354"/>
      <c r="T732" s="354"/>
      <c r="U732" s="354"/>
      <c r="V732" s="354"/>
      <c r="W732" s="354"/>
      <c r="X732" s="354"/>
      <c r="Y732" s="354"/>
      <c r="Z732" s="354"/>
      <c r="AA732" s="354"/>
      <c r="AB732" s="354"/>
      <c r="AC732" s="354"/>
      <c r="AD732" s="354"/>
      <c r="AE732" s="354"/>
      <c r="AF732" s="354"/>
      <c r="AG732" s="354"/>
      <c r="AH732" s="354"/>
      <c r="AI732" s="354"/>
      <c r="AJ732" s="354"/>
      <c r="AK732" s="354"/>
      <c r="AL732" s="354"/>
      <c r="AM732" s="354"/>
      <c r="AN732" s="354"/>
      <c r="AO732" s="354"/>
      <c r="AP732" s="354"/>
      <c r="AQ732" s="354"/>
      <c r="AR732" s="354"/>
      <c r="AS732" s="354"/>
      <c r="AT732" s="354"/>
      <c r="AU732" s="354"/>
      <c r="AV732" s="354"/>
      <c r="AW732" s="354"/>
    </row>
    <row r="733" spans="1:49">
      <c r="A733" s="354"/>
      <c r="B733" s="354"/>
      <c r="C733" s="354"/>
      <c r="D733" s="354"/>
      <c r="E733" s="354"/>
      <c r="F733" s="354"/>
      <c r="G733" s="354"/>
      <c r="H733" s="354"/>
      <c r="I733" s="354"/>
      <c r="J733" s="354"/>
      <c r="K733" s="354"/>
      <c r="L733" s="354"/>
      <c r="M733" s="354"/>
      <c r="N733" s="354"/>
      <c r="O733" s="354"/>
      <c r="P733" s="354"/>
      <c r="Q733" s="354"/>
      <c r="R733" s="354"/>
      <c r="S733" s="354"/>
      <c r="T733" s="354"/>
      <c r="U733" s="354"/>
      <c r="V733" s="354"/>
      <c r="W733" s="354"/>
      <c r="X733" s="354"/>
      <c r="Y733" s="354"/>
      <c r="Z733" s="354"/>
      <c r="AA733" s="354"/>
      <c r="AB733" s="354"/>
      <c r="AC733" s="354"/>
      <c r="AD733" s="354"/>
      <c r="AE733" s="354"/>
      <c r="AF733" s="354"/>
      <c r="AG733" s="354"/>
      <c r="AH733" s="354"/>
      <c r="AI733" s="354"/>
      <c r="AJ733" s="354"/>
      <c r="AK733" s="354"/>
      <c r="AL733" s="354"/>
      <c r="AM733" s="354"/>
      <c r="AN733" s="354"/>
      <c r="AO733" s="354"/>
      <c r="AP733" s="354"/>
      <c r="AQ733" s="354"/>
      <c r="AR733" s="354"/>
      <c r="AS733" s="354"/>
      <c r="AT733" s="354"/>
      <c r="AU733" s="354"/>
      <c r="AV733" s="354"/>
      <c r="AW733" s="354"/>
    </row>
    <row r="734" spans="1:49">
      <c r="A734" s="354"/>
      <c r="B734" s="35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row>
    <row r="735" spans="1:49">
      <c r="A735" s="354"/>
      <c r="B735" s="354"/>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Y735" s="354"/>
      <c r="Z735" s="354"/>
      <c r="AA735" s="354"/>
      <c r="AB735" s="354"/>
      <c r="AC735" s="354"/>
      <c r="AD735" s="354"/>
      <c r="AE735" s="354"/>
      <c r="AF735" s="354"/>
      <c r="AG735" s="354"/>
      <c r="AH735" s="354"/>
      <c r="AI735" s="354"/>
      <c r="AJ735" s="354"/>
      <c r="AK735" s="354"/>
      <c r="AL735" s="354"/>
      <c r="AM735" s="354"/>
      <c r="AN735" s="354"/>
      <c r="AO735" s="354"/>
      <c r="AP735" s="354"/>
      <c r="AQ735" s="354"/>
      <c r="AR735" s="354"/>
      <c r="AS735" s="354"/>
      <c r="AT735" s="354"/>
      <c r="AU735" s="354"/>
      <c r="AV735" s="354"/>
      <c r="AW735" s="354"/>
    </row>
    <row r="736" spans="1:49">
      <c r="A736" s="354"/>
      <c r="B736" s="354"/>
      <c r="C736" s="354"/>
      <c r="D736" s="354"/>
      <c r="E736" s="354"/>
      <c r="F736" s="354"/>
      <c r="G736" s="354"/>
      <c r="H736" s="354"/>
      <c r="I736" s="354"/>
      <c r="J736" s="354"/>
      <c r="K736" s="354"/>
      <c r="L736" s="354"/>
      <c r="M736" s="354"/>
      <c r="N736" s="354"/>
      <c r="O736" s="354"/>
      <c r="P736" s="354"/>
      <c r="Q736" s="354"/>
      <c r="R736" s="354"/>
      <c r="S736" s="354"/>
      <c r="T736" s="354"/>
      <c r="U736" s="354"/>
      <c r="V736" s="354"/>
      <c r="W736" s="354"/>
      <c r="X736" s="354"/>
      <c r="Y736" s="354"/>
      <c r="Z736" s="354"/>
      <c r="AA736" s="354"/>
      <c r="AB736" s="354"/>
      <c r="AC736" s="354"/>
      <c r="AD736" s="354"/>
      <c r="AE736" s="354"/>
      <c r="AF736" s="354"/>
      <c r="AG736" s="354"/>
      <c r="AH736" s="354"/>
      <c r="AI736" s="354"/>
      <c r="AJ736" s="354"/>
      <c r="AK736" s="354"/>
      <c r="AL736" s="354"/>
      <c r="AM736" s="354"/>
      <c r="AN736" s="354"/>
      <c r="AO736" s="354"/>
      <c r="AP736" s="354"/>
      <c r="AQ736" s="354"/>
      <c r="AR736" s="354"/>
      <c r="AS736" s="354"/>
      <c r="AT736" s="354"/>
      <c r="AU736" s="354"/>
      <c r="AV736" s="354"/>
      <c r="AW736" s="354"/>
    </row>
    <row r="737" spans="1:49">
      <c r="A737" s="354"/>
      <c r="B737" s="354"/>
      <c r="C737" s="354"/>
      <c r="D737" s="354"/>
      <c r="E737" s="354"/>
      <c r="F737" s="354"/>
      <c r="G737" s="354"/>
      <c r="H737" s="354"/>
      <c r="I737" s="354"/>
      <c r="J737" s="354"/>
      <c r="K737" s="354"/>
      <c r="L737" s="354"/>
      <c r="M737" s="354"/>
      <c r="N737" s="354"/>
      <c r="O737" s="354"/>
      <c r="P737" s="354"/>
      <c r="Q737" s="354"/>
      <c r="R737" s="354"/>
      <c r="S737" s="354"/>
      <c r="T737" s="354"/>
      <c r="U737" s="354"/>
      <c r="V737" s="354"/>
      <c r="W737" s="354"/>
      <c r="X737" s="354"/>
      <c r="Y737" s="354"/>
      <c r="Z737" s="354"/>
      <c r="AA737" s="354"/>
      <c r="AB737" s="354"/>
      <c r="AC737" s="354"/>
      <c r="AD737" s="354"/>
      <c r="AE737" s="354"/>
      <c r="AF737" s="354"/>
      <c r="AG737" s="354"/>
      <c r="AH737" s="354"/>
      <c r="AI737" s="354"/>
      <c r="AJ737" s="354"/>
      <c r="AK737" s="354"/>
      <c r="AL737" s="354"/>
      <c r="AM737" s="354"/>
      <c r="AN737" s="354"/>
      <c r="AO737" s="354"/>
      <c r="AP737" s="354"/>
      <c r="AQ737" s="354"/>
      <c r="AR737" s="354"/>
      <c r="AS737" s="354"/>
      <c r="AT737" s="354"/>
      <c r="AU737" s="354"/>
      <c r="AV737" s="354"/>
      <c r="AW737" s="354"/>
    </row>
    <row r="738" spans="1:49">
      <c r="A738" s="354"/>
      <c r="B738" s="354"/>
      <c r="C738" s="354"/>
      <c r="D738" s="354"/>
      <c r="E738" s="354"/>
      <c r="F738" s="354"/>
      <c r="G738" s="354"/>
      <c r="H738" s="354"/>
      <c r="I738" s="354"/>
      <c r="J738" s="354"/>
      <c r="K738" s="354"/>
      <c r="L738" s="354"/>
      <c r="M738" s="354"/>
      <c r="N738" s="354"/>
      <c r="O738" s="354"/>
      <c r="P738" s="354"/>
      <c r="Q738" s="354"/>
      <c r="R738" s="354"/>
      <c r="S738" s="354"/>
      <c r="T738" s="354"/>
      <c r="U738" s="354"/>
      <c r="V738" s="354"/>
      <c r="W738" s="354"/>
      <c r="X738" s="354"/>
      <c r="Y738" s="354"/>
      <c r="Z738" s="354"/>
      <c r="AA738" s="354"/>
      <c r="AB738" s="354"/>
      <c r="AC738" s="354"/>
      <c r="AD738" s="354"/>
      <c r="AE738" s="354"/>
      <c r="AF738" s="354"/>
      <c r="AG738" s="354"/>
      <c r="AH738" s="354"/>
      <c r="AI738" s="354"/>
      <c r="AJ738" s="354"/>
      <c r="AK738" s="354"/>
      <c r="AL738" s="354"/>
      <c r="AM738" s="354"/>
      <c r="AN738" s="354"/>
      <c r="AO738" s="354"/>
      <c r="AP738" s="354"/>
      <c r="AQ738" s="354"/>
      <c r="AR738" s="354"/>
      <c r="AS738" s="354"/>
      <c r="AT738" s="354"/>
      <c r="AU738" s="354"/>
      <c r="AV738" s="354"/>
      <c r="AW738" s="354"/>
    </row>
    <row r="739" spans="1:49">
      <c r="A739" s="354"/>
      <c r="B739" s="354"/>
      <c r="C739" s="354"/>
      <c r="D739" s="354"/>
      <c r="E739" s="354"/>
      <c r="F739" s="354"/>
      <c r="G739" s="354"/>
      <c r="H739" s="354"/>
      <c r="I739" s="354"/>
      <c r="J739" s="354"/>
      <c r="K739" s="354"/>
      <c r="L739" s="354"/>
      <c r="M739" s="354"/>
      <c r="N739" s="354"/>
      <c r="O739" s="354"/>
      <c r="P739" s="354"/>
      <c r="Q739" s="354"/>
      <c r="R739" s="354"/>
      <c r="S739" s="354"/>
      <c r="T739" s="354"/>
      <c r="U739" s="354"/>
      <c r="V739" s="354"/>
      <c r="W739" s="354"/>
      <c r="X739" s="354"/>
      <c r="Y739" s="354"/>
      <c r="Z739" s="354"/>
      <c r="AA739" s="354"/>
      <c r="AB739" s="354"/>
      <c r="AC739" s="354"/>
      <c r="AD739" s="354"/>
      <c r="AE739" s="354"/>
      <c r="AF739" s="354"/>
      <c r="AG739" s="354"/>
      <c r="AH739" s="354"/>
      <c r="AI739" s="354"/>
      <c r="AJ739" s="354"/>
      <c r="AK739" s="354"/>
      <c r="AL739" s="354"/>
      <c r="AM739" s="354"/>
      <c r="AN739" s="354"/>
      <c r="AO739" s="354"/>
      <c r="AP739" s="354"/>
      <c r="AQ739" s="354"/>
      <c r="AR739" s="354"/>
      <c r="AS739" s="354"/>
      <c r="AT739" s="354"/>
      <c r="AU739" s="354"/>
      <c r="AV739" s="354"/>
      <c r="AW739" s="354"/>
    </row>
    <row r="740" spans="1:49">
      <c r="A740" s="354"/>
      <c r="B740" s="354"/>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54"/>
      <c r="AE740" s="354"/>
      <c r="AF740" s="354"/>
      <c r="AG740" s="354"/>
      <c r="AH740" s="354"/>
      <c r="AI740" s="354"/>
      <c r="AJ740" s="354"/>
      <c r="AK740" s="354"/>
      <c r="AL740" s="354"/>
      <c r="AM740" s="354"/>
      <c r="AN740" s="354"/>
      <c r="AO740" s="354"/>
      <c r="AP740" s="354"/>
      <c r="AQ740" s="354"/>
      <c r="AR740" s="354"/>
      <c r="AS740" s="354"/>
      <c r="AT740" s="354"/>
      <c r="AU740" s="354"/>
      <c r="AV740" s="354"/>
      <c r="AW740" s="354"/>
    </row>
    <row r="741" spans="1:49">
      <c r="A741" s="354"/>
      <c r="B741" s="354"/>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c r="AA741" s="354"/>
      <c r="AB741" s="354"/>
      <c r="AC741" s="354"/>
      <c r="AD741" s="354"/>
      <c r="AE741" s="354"/>
      <c r="AF741" s="354"/>
      <c r="AG741" s="354"/>
      <c r="AH741" s="354"/>
      <c r="AI741" s="354"/>
      <c r="AJ741" s="354"/>
      <c r="AK741" s="354"/>
      <c r="AL741" s="354"/>
      <c r="AM741" s="354"/>
      <c r="AN741" s="354"/>
      <c r="AO741" s="354"/>
      <c r="AP741" s="354"/>
      <c r="AQ741" s="354"/>
      <c r="AR741" s="354"/>
      <c r="AS741" s="354"/>
      <c r="AT741" s="354"/>
      <c r="AU741" s="354"/>
      <c r="AV741" s="354"/>
      <c r="AW741" s="354"/>
    </row>
    <row r="742" spans="1:49">
      <c r="A742" s="354"/>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354"/>
      <c r="AL742" s="354"/>
      <c r="AM742" s="354"/>
      <c r="AN742" s="354"/>
      <c r="AO742" s="354"/>
      <c r="AP742" s="354"/>
      <c r="AQ742" s="354"/>
      <c r="AR742" s="354"/>
      <c r="AS742" s="354"/>
      <c r="AT742" s="354"/>
      <c r="AU742" s="354"/>
      <c r="AV742" s="354"/>
      <c r="AW742" s="354"/>
    </row>
    <row r="743" spans="1:49">
      <c r="A743" s="354"/>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c r="AA743" s="354"/>
      <c r="AB743" s="354"/>
      <c r="AC743" s="354"/>
      <c r="AD743" s="354"/>
      <c r="AE743" s="354"/>
      <c r="AF743" s="354"/>
      <c r="AG743" s="354"/>
      <c r="AH743" s="354"/>
      <c r="AI743" s="354"/>
      <c r="AJ743" s="354"/>
      <c r="AK743" s="354"/>
      <c r="AL743" s="354"/>
      <c r="AM743" s="354"/>
      <c r="AN743" s="354"/>
      <c r="AO743" s="354"/>
      <c r="AP743" s="354"/>
      <c r="AQ743" s="354"/>
      <c r="AR743" s="354"/>
      <c r="AS743" s="354"/>
      <c r="AT743" s="354"/>
      <c r="AU743" s="354"/>
      <c r="AV743" s="354"/>
      <c r="AW743" s="354"/>
    </row>
    <row r="744" spans="1:49">
      <c r="A744" s="354"/>
      <c r="B744" s="354"/>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c r="AA744" s="354"/>
      <c r="AB744" s="354"/>
      <c r="AC744" s="354"/>
      <c r="AD744" s="354"/>
      <c r="AE744" s="354"/>
      <c r="AF744" s="354"/>
      <c r="AG744" s="354"/>
      <c r="AH744" s="354"/>
      <c r="AI744" s="354"/>
      <c r="AJ744" s="354"/>
      <c r="AK744" s="354"/>
      <c r="AL744" s="354"/>
      <c r="AM744" s="354"/>
      <c r="AN744" s="354"/>
      <c r="AO744" s="354"/>
      <c r="AP744" s="354"/>
      <c r="AQ744" s="354"/>
      <c r="AR744" s="354"/>
      <c r="AS744" s="354"/>
      <c r="AT744" s="354"/>
      <c r="AU744" s="354"/>
      <c r="AV744" s="354"/>
      <c r="AW744" s="354"/>
    </row>
    <row r="745" spans="1:49">
      <c r="A745" s="354"/>
      <c r="B745" s="354"/>
      <c r="C745" s="354"/>
      <c r="D745" s="354"/>
      <c r="E745" s="354"/>
      <c r="F745" s="354"/>
      <c r="G745" s="354"/>
      <c r="H745" s="354"/>
      <c r="I745" s="354"/>
      <c r="J745" s="354"/>
      <c r="K745" s="354"/>
      <c r="L745" s="354"/>
      <c r="M745" s="354"/>
      <c r="N745" s="354"/>
      <c r="O745" s="354"/>
      <c r="P745" s="354"/>
      <c r="Q745" s="354"/>
      <c r="R745" s="354"/>
      <c r="S745" s="354"/>
      <c r="T745" s="354"/>
      <c r="U745" s="354"/>
      <c r="V745" s="354"/>
      <c r="W745" s="354"/>
      <c r="X745" s="354"/>
      <c r="Y745" s="354"/>
      <c r="Z745" s="354"/>
      <c r="AA745" s="354"/>
      <c r="AB745" s="354"/>
      <c r="AC745" s="354"/>
      <c r="AD745" s="354"/>
      <c r="AE745" s="354"/>
      <c r="AF745" s="354"/>
      <c r="AG745" s="354"/>
      <c r="AH745" s="354"/>
      <c r="AI745" s="354"/>
      <c r="AJ745" s="354"/>
      <c r="AK745" s="354"/>
      <c r="AL745" s="354"/>
      <c r="AM745" s="354"/>
      <c r="AN745" s="354"/>
      <c r="AO745" s="354"/>
      <c r="AP745" s="354"/>
      <c r="AQ745" s="354"/>
      <c r="AR745" s="354"/>
      <c r="AS745" s="354"/>
      <c r="AT745" s="354"/>
      <c r="AU745" s="354"/>
      <c r="AV745" s="354"/>
      <c r="AW745" s="354"/>
    </row>
    <row r="746" spans="1:49">
      <c r="A746" s="354"/>
      <c r="B746" s="35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row>
    <row r="747" spans="1:49">
      <c r="A747" s="354"/>
      <c r="B747" s="354"/>
      <c r="C747" s="354"/>
      <c r="D747" s="354"/>
      <c r="E747" s="354"/>
      <c r="F747" s="354"/>
      <c r="G747" s="354"/>
      <c r="H747" s="354"/>
      <c r="I747" s="354"/>
      <c r="J747" s="354"/>
      <c r="K747" s="354"/>
      <c r="L747" s="354"/>
      <c r="M747" s="354"/>
      <c r="N747" s="354"/>
      <c r="O747" s="354"/>
      <c r="P747" s="354"/>
      <c r="Q747" s="354"/>
      <c r="R747" s="354"/>
      <c r="S747" s="354"/>
      <c r="T747" s="354"/>
      <c r="U747" s="354"/>
      <c r="V747" s="354"/>
      <c r="W747" s="354"/>
      <c r="X747" s="354"/>
      <c r="Y747" s="354"/>
      <c r="Z747" s="354"/>
      <c r="AA747" s="354"/>
      <c r="AB747" s="354"/>
      <c r="AC747" s="354"/>
      <c r="AD747" s="354"/>
      <c r="AE747" s="354"/>
      <c r="AF747" s="354"/>
      <c r="AG747" s="354"/>
      <c r="AH747" s="354"/>
      <c r="AI747" s="354"/>
      <c r="AJ747" s="354"/>
      <c r="AK747" s="354"/>
      <c r="AL747" s="354"/>
      <c r="AM747" s="354"/>
      <c r="AN747" s="354"/>
      <c r="AO747" s="354"/>
      <c r="AP747" s="354"/>
      <c r="AQ747" s="354"/>
      <c r="AR747" s="354"/>
      <c r="AS747" s="354"/>
      <c r="AT747" s="354"/>
      <c r="AU747" s="354"/>
      <c r="AV747" s="354"/>
      <c r="AW747" s="354"/>
    </row>
    <row r="748" spans="1:49">
      <c r="A748" s="354"/>
      <c r="B748" s="354"/>
      <c r="C748" s="354"/>
      <c r="D748" s="354"/>
      <c r="E748" s="354"/>
      <c r="F748" s="354"/>
      <c r="G748" s="354"/>
      <c r="H748" s="354"/>
      <c r="I748" s="354"/>
      <c r="J748" s="354"/>
      <c r="K748" s="354"/>
      <c r="L748" s="354"/>
      <c r="M748" s="354"/>
      <c r="N748" s="354"/>
      <c r="O748" s="354"/>
      <c r="P748" s="354"/>
      <c r="Q748" s="354"/>
      <c r="R748" s="354"/>
      <c r="S748" s="354"/>
      <c r="T748" s="354"/>
      <c r="U748" s="354"/>
      <c r="V748" s="354"/>
      <c r="W748" s="354"/>
      <c r="X748" s="354"/>
      <c r="Y748" s="354"/>
      <c r="Z748" s="354"/>
      <c r="AA748" s="354"/>
      <c r="AB748" s="354"/>
      <c r="AC748" s="354"/>
      <c r="AD748" s="354"/>
      <c r="AE748" s="354"/>
      <c r="AF748" s="354"/>
      <c r="AG748" s="354"/>
      <c r="AH748" s="354"/>
      <c r="AI748" s="354"/>
      <c r="AJ748" s="354"/>
      <c r="AK748" s="354"/>
      <c r="AL748" s="354"/>
      <c r="AM748" s="354"/>
      <c r="AN748" s="354"/>
      <c r="AO748" s="354"/>
      <c r="AP748" s="354"/>
      <c r="AQ748" s="354"/>
      <c r="AR748" s="354"/>
      <c r="AS748" s="354"/>
      <c r="AT748" s="354"/>
      <c r="AU748" s="354"/>
      <c r="AV748" s="354"/>
      <c r="AW748" s="354"/>
    </row>
    <row r="749" spans="1:49">
      <c r="A749" s="354"/>
      <c r="B749" s="354"/>
      <c r="C749" s="354"/>
      <c r="D749" s="354"/>
      <c r="E749" s="354"/>
      <c r="F749" s="354"/>
      <c r="G749" s="354"/>
      <c r="H749" s="354"/>
      <c r="I749" s="354"/>
      <c r="J749" s="354"/>
      <c r="K749" s="354"/>
      <c r="L749" s="354"/>
      <c r="M749" s="354"/>
      <c r="N749" s="354"/>
      <c r="O749" s="354"/>
      <c r="P749" s="354"/>
      <c r="Q749" s="354"/>
      <c r="R749" s="354"/>
      <c r="S749" s="354"/>
      <c r="T749" s="354"/>
      <c r="U749" s="354"/>
      <c r="V749" s="354"/>
      <c r="W749" s="354"/>
      <c r="X749" s="354"/>
      <c r="Y749" s="354"/>
      <c r="Z749" s="354"/>
      <c r="AA749" s="354"/>
      <c r="AB749" s="354"/>
      <c r="AC749" s="354"/>
      <c r="AD749" s="354"/>
      <c r="AE749" s="354"/>
      <c r="AF749" s="354"/>
      <c r="AG749" s="354"/>
      <c r="AH749" s="354"/>
      <c r="AI749" s="354"/>
      <c r="AJ749" s="354"/>
      <c r="AK749" s="354"/>
      <c r="AL749" s="354"/>
      <c r="AM749" s="354"/>
      <c r="AN749" s="354"/>
      <c r="AO749" s="354"/>
      <c r="AP749" s="354"/>
      <c r="AQ749" s="354"/>
      <c r="AR749" s="354"/>
      <c r="AS749" s="354"/>
      <c r="AT749" s="354"/>
      <c r="AU749" s="354"/>
      <c r="AV749" s="354"/>
      <c r="AW749" s="354"/>
    </row>
    <row r="750" spans="1:49">
      <c r="A750" s="354"/>
      <c r="B750" s="354"/>
      <c r="C750" s="354"/>
      <c r="D750" s="354"/>
      <c r="E750" s="354"/>
      <c r="F750" s="354"/>
      <c r="G750" s="354"/>
      <c r="H750" s="354"/>
      <c r="I750" s="354"/>
      <c r="J750" s="354"/>
      <c r="K750" s="354"/>
      <c r="L750" s="354"/>
      <c r="M750" s="354"/>
      <c r="N750" s="354"/>
      <c r="O750" s="354"/>
      <c r="P750" s="354"/>
      <c r="Q750" s="354"/>
      <c r="R750" s="354"/>
      <c r="S750" s="354"/>
      <c r="T750" s="354"/>
      <c r="U750" s="354"/>
      <c r="V750" s="354"/>
      <c r="W750" s="354"/>
      <c r="X750" s="354"/>
      <c r="Y750" s="354"/>
      <c r="Z750" s="354"/>
      <c r="AA750" s="354"/>
      <c r="AB750" s="354"/>
      <c r="AC750" s="354"/>
      <c r="AD750" s="354"/>
      <c r="AE750" s="354"/>
      <c r="AF750" s="354"/>
      <c r="AG750" s="354"/>
      <c r="AH750" s="354"/>
      <c r="AI750" s="354"/>
      <c r="AJ750" s="354"/>
      <c r="AK750" s="354"/>
      <c r="AL750" s="354"/>
      <c r="AM750" s="354"/>
      <c r="AN750" s="354"/>
      <c r="AO750" s="354"/>
      <c r="AP750" s="354"/>
      <c r="AQ750" s="354"/>
      <c r="AR750" s="354"/>
      <c r="AS750" s="354"/>
      <c r="AT750" s="354"/>
      <c r="AU750" s="354"/>
      <c r="AV750" s="354"/>
      <c r="AW750" s="354"/>
    </row>
    <row r="751" spans="1:49">
      <c r="A751" s="354"/>
      <c r="B751" s="354"/>
      <c r="C751" s="354"/>
      <c r="D751" s="354"/>
      <c r="E751" s="354"/>
      <c r="F751" s="354"/>
      <c r="G751" s="354"/>
      <c r="H751" s="354"/>
      <c r="I751" s="354"/>
      <c r="J751" s="354"/>
      <c r="K751" s="354"/>
      <c r="L751" s="354"/>
      <c r="M751" s="354"/>
      <c r="N751" s="354"/>
      <c r="O751" s="354"/>
      <c r="P751" s="354"/>
      <c r="Q751" s="354"/>
      <c r="R751" s="354"/>
      <c r="S751" s="354"/>
      <c r="T751" s="354"/>
      <c r="U751" s="354"/>
      <c r="V751" s="354"/>
      <c r="W751" s="354"/>
      <c r="X751" s="354"/>
      <c r="Y751" s="354"/>
      <c r="Z751" s="354"/>
      <c r="AA751" s="354"/>
      <c r="AB751" s="354"/>
      <c r="AC751" s="354"/>
      <c r="AD751" s="354"/>
      <c r="AE751" s="354"/>
      <c r="AF751" s="354"/>
      <c r="AG751" s="354"/>
      <c r="AH751" s="354"/>
      <c r="AI751" s="354"/>
      <c r="AJ751" s="354"/>
      <c r="AK751" s="354"/>
      <c r="AL751" s="354"/>
      <c r="AM751" s="354"/>
      <c r="AN751" s="354"/>
      <c r="AO751" s="354"/>
      <c r="AP751" s="354"/>
      <c r="AQ751" s="354"/>
      <c r="AR751" s="354"/>
      <c r="AS751" s="354"/>
      <c r="AT751" s="354"/>
      <c r="AU751" s="354"/>
      <c r="AV751" s="354"/>
      <c r="AW751" s="354"/>
    </row>
    <row r="752" spans="1:49">
      <c r="A752" s="354"/>
      <c r="B752" s="354"/>
      <c r="C752" s="354"/>
      <c r="D752" s="354"/>
      <c r="E752" s="354"/>
      <c r="F752" s="354"/>
      <c r="G752" s="354"/>
      <c r="H752" s="354"/>
      <c r="I752" s="354"/>
      <c r="J752" s="354"/>
      <c r="K752" s="354"/>
      <c r="L752" s="354"/>
      <c r="M752" s="354"/>
      <c r="N752" s="354"/>
      <c r="O752" s="354"/>
      <c r="P752" s="354"/>
      <c r="Q752" s="354"/>
      <c r="R752" s="354"/>
      <c r="S752" s="354"/>
      <c r="T752" s="354"/>
      <c r="U752" s="354"/>
      <c r="V752" s="354"/>
      <c r="W752" s="354"/>
      <c r="X752" s="354"/>
      <c r="Y752" s="354"/>
      <c r="Z752" s="354"/>
      <c r="AA752" s="354"/>
      <c r="AB752" s="354"/>
      <c r="AC752" s="354"/>
      <c r="AD752" s="354"/>
      <c r="AE752" s="354"/>
      <c r="AF752" s="354"/>
      <c r="AG752" s="354"/>
      <c r="AH752" s="354"/>
      <c r="AI752" s="354"/>
      <c r="AJ752" s="354"/>
      <c r="AK752" s="354"/>
      <c r="AL752" s="354"/>
      <c r="AM752" s="354"/>
      <c r="AN752" s="354"/>
      <c r="AO752" s="354"/>
      <c r="AP752" s="354"/>
      <c r="AQ752" s="354"/>
      <c r="AR752" s="354"/>
      <c r="AS752" s="354"/>
      <c r="AT752" s="354"/>
      <c r="AU752" s="354"/>
      <c r="AV752" s="354"/>
      <c r="AW752" s="354"/>
    </row>
    <row r="753" spans="1:49">
      <c r="A753" s="354"/>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c r="AA753" s="354"/>
      <c r="AB753" s="354"/>
      <c r="AC753" s="354"/>
      <c r="AD753" s="354"/>
      <c r="AE753" s="354"/>
      <c r="AF753" s="354"/>
      <c r="AG753" s="354"/>
      <c r="AH753" s="354"/>
      <c r="AI753" s="354"/>
      <c r="AJ753" s="354"/>
      <c r="AK753" s="354"/>
      <c r="AL753" s="354"/>
      <c r="AM753" s="354"/>
      <c r="AN753" s="354"/>
      <c r="AO753" s="354"/>
      <c r="AP753" s="354"/>
      <c r="AQ753" s="354"/>
      <c r="AR753" s="354"/>
      <c r="AS753" s="354"/>
      <c r="AT753" s="354"/>
      <c r="AU753" s="354"/>
      <c r="AV753" s="354"/>
      <c r="AW753" s="354"/>
    </row>
    <row r="754" spans="1:49">
      <c r="A754" s="354"/>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c r="AA754" s="354"/>
      <c r="AB754" s="354"/>
      <c r="AC754" s="354"/>
      <c r="AD754" s="354"/>
      <c r="AE754" s="354"/>
      <c r="AF754" s="354"/>
      <c r="AG754" s="354"/>
      <c r="AH754" s="354"/>
      <c r="AI754" s="354"/>
      <c r="AJ754" s="354"/>
      <c r="AK754" s="354"/>
      <c r="AL754" s="354"/>
      <c r="AM754" s="354"/>
      <c r="AN754" s="354"/>
      <c r="AO754" s="354"/>
      <c r="AP754" s="354"/>
      <c r="AQ754" s="354"/>
      <c r="AR754" s="354"/>
      <c r="AS754" s="354"/>
      <c r="AT754" s="354"/>
      <c r="AU754" s="354"/>
      <c r="AV754" s="354"/>
      <c r="AW754" s="354"/>
    </row>
    <row r="755" spans="1:49">
      <c r="A755" s="354"/>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54"/>
      <c r="AE755" s="354"/>
      <c r="AF755" s="354"/>
      <c r="AG755" s="354"/>
      <c r="AH755" s="354"/>
      <c r="AI755" s="354"/>
      <c r="AJ755" s="354"/>
      <c r="AK755" s="354"/>
      <c r="AL755" s="354"/>
      <c r="AM755" s="354"/>
      <c r="AN755" s="354"/>
      <c r="AO755" s="354"/>
      <c r="AP755" s="354"/>
      <c r="AQ755" s="354"/>
      <c r="AR755" s="354"/>
      <c r="AS755" s="354"/>
      <c r="AT755" s="354"/>
      <c r="AU755" s="354"/>
      <c r="AV755" s="354"/>
      <c r="AW755" s="354"/>
    </row>
    <row r="756" spans="1:49">
      <c r="A756" s="354"/>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54"/>
      <c r="AE756" s="354"/>
      <c r="AF756" s="354"/>
      <c r="AG756" s="354"/>
      <c r="AH756" s="354"/>
      <c r="AI756" s="354"/>
      <c r="AJ756" s="354"/>
      <c r="AK756" s="354"/>
      <c r="AL756" s="354"/>
      <c r="AM756" s="354"/>
      <c r="AN756" s="354"/>
      <c r="AO756" s="354"/>
      <c r="AP756" s="354"/>
      <c r="AQ756" s="354"/>
      <c r="AR756" s="354"/>
      <c r="AS756" s="354"/>
      <c r="AT756" s="354"/>
      <c r="AU756" s="354"/>
      <c r="AV756" s="354"/>
      <c r="AW756" s="354"/>
    </row>
    <row r="757" spans="1:49">
      <c r="A757" s="354"/>
      <c r="B757" s="354"/>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c r="AA757" s="354"/>
      <c r="AB757" s="354"/>
      <c r="AC757" s="354"/>
      <c r="AD757" s="354"/>
      <c r="AE757" s="354"/>
      <c r="AF757" s="354"/>
      <c r="AG757" s="354"/>
      <c r="AH757" s="354"/>
      <c r="AI757" s="354"/>
      <c r="AJ757" s="354"/>
      <c r="AK757" s="354"/>
      <c r="AL757" s="354"/>
      <c r="AM757" s="354"/>
      <c r="AN757" s="354"/>
      <c r="AO757" s="354"/>
      <c r="AP757" s="354"/>
      <c r="AQ757" s="354"/>
      <c r="AR757" s="354"/>
      <c r="AS757" s="354"/>
      <c r="AT757" s="354"/>
      <c r="AU757" s="354"/>
      <c r="AV757" s="354"/>
      <c r="AW757" s="354"/>
    </row>
    <row r="758" spans="1:49">
      <c r="A758" s="354"/>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c r="AA758" s="354"/>
      <c r="AB758" s="354"/>
      <c r="AC758" s="354"/>
      <c r="AD758" s="354"/>
      <c r="AE758" s="354"/>
      <c r="AF758" s="354"/>
      <c r="AG758" s="354"/>
      <c r="AH758" s="354"/>
      <c r="AI758" s="354"/>
      <c r="AJ758" s="354"/>
      <c r="AK758" s="354"/>
      <c r="AL758" s="354"/>
      <c r="AM758" s="354"/>
      <c r="AN758" s="354"/>
      <c r="AO758" s="354"/>
      <c r="AP758" s="354"/>
      <c r="AQ758" s="354"/>
      <c r="AR758" s="354"/>
      <c r="AS758" s="354"/>
      <c r="AT758" s="354"/>
      <c r="AU758" s="354"/>
      <c r="AV758" s="354"/>
      <c r="AW758" s="354"/>
    </row>
    <row r="759" spans="1:49">
      <c r="A759" s="354"/>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c r="AA759" s="354"/>
      <c r="AB759" s="354"/>
      <c r="AC759" s="354"/>
      <c r="AD759" s="354"/>
      <c r="AE759" s="354"/>
      <c r="AF759" s="354"/>
      <c r="AG759" s="354"/>
      <c r="AH759" s="354"/>
      <c r="AI759" s="354"/>
      <c r="AJ759" s="354"/>
      <c r="AK759" s="354"/>
      <c r="AL759" s="354"/>
      <c r="AM759" s="354"/>
      <c r="AN759" s="354"/>
      <c r="AO759" s="354"/>
      <c r="AP759" s="354"/>
      <c r="AQ759" s="354"/>
      <c r="AR759" s="354"/>
      <c r="AS759" s="354"/>
      <c r="AT759" s="354"/>
      <c r="AU759" s="354"/>
      <c r="AV759" s="354"/>
      <c r="AW759" s="354"/>
    </row>
    <row r="760" spans="1:49">
      <c r="A760" s="354"/>
      <c r="B760" s="354"/>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c r="AA760" s="354"/>
      <c r="AB760" s="354"/>
      <c r="AC760" s="354"/>
      <c r="AD760" s="354"/>
      <c r="AE760" s="354"/>
      <c r="AF760" s="354"/>
      <c r="AG760" s="354"/>
      <c r="AH760" s="354"/>
      <c r="AI760" s="354"/>
      <c r="AJ760" s="354"/>
      <c r="AK760" s="354"/>
      <c r="AL760" s="354"/>
      <c r="AM760" s="354"/>
      <c r="AN760" s="354"/>
      <c r="AO760" s="354"/>
      <c r="AP760" s="354"/>
      <c r="AQ760" s="354"/>
      <c r="AR760" s="354"/>
      <c r="AS760" s="354"/>
      <c r="AT760" s="354"/>
      <c r="AU760" s="354"/>
      <c r="AV760" s="354"/>
      <c r="AW760" s="354"/>
    </row>
    <row r="761" spans="1:49">
      <c r="A761" s="354"/>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c r="AA761" s="354"/>
      <c r="AB761" s="354"/>
      <c r="AC761" s="354"/>
      <c r="AD761" s="354"/>
      <c r="AE761" s="354"/>
      <c r="AF761" s="354"/>
      <c r="AG761" s="354"/>
      <c r="AH761" s="354"/>
      <c r="AI761" s="354"/>
      <c r="AJ761" s="354"/>
      <c r="AK761" s="354"/>
      <c r="AL761" s="354"/>
      <c r="AM761" s="354"/>
      <c r="AN761" s="354"/>
      <c r="AO761" s="354"/>
      <c r="AP761" s="354"/>
      <c r="AQ761" s="354"/>
      <c r="AR761" s="354"/>
      <c r="AS761" s="354"/>
      <c r="AT761" s="354"/>
      <c r="AU761" s="354"/>
      <c r="AV761" s="354"/>
      <c r="AW761" s="354"/>
    </row>
    <row r="762" spans="1:49">
      <c r="A762" s="354"/>
      <c r="B762" s="354"/>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c r="AA762" s="354"/>
      <c r="AB762" s="354"/>
      <c r="AC762" s="354"/>
      <c r="AD762" s="354"/>
      <c r="AE762" s="354"/>
      <c r="AF762" s="354"/>
      <c r="AG762" s="354"/>
      <c r="AH762" s="354"/>
      <c r="AI762" s="354"/>
      <c r="AJ762" s="354"/>
      <c r="AK762" s="354"/>
      <c r="AL762" s="354"/>
      <c r="AM762" s="354"/>
      <c r="AN762" s="354"/>
      <c r="AO762" s="354"/>
      <c r="AP762" s="354"/>
      <c r="AQ762" s="354"/>
      <c r="AR762" s="354"/>
      <c r="AS762" s="354"/>
      <c r="AT762" s="354"/>
      <c r="AU762" s="354"/>
      <c r="AV762" s="354"/>
      <c r="AW762" s="354"/>
    </row>
    <row r="763" spans="1:49">
      <c r="A763" s="354"/>
      <c r="B763" s="354"/>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c r="AA763" s="354"/>
      <c r="AB763" s="354"/>
      <c r="AC763" s="354"/>
      <c r="AD763" s="354"/>
      <c r="AE763" s="354"/>
      <c r="AF763" s="354"/>
      <c r="AG763" s="354"/>
      <c r="AH763" s="354"/>
      <c r="AI763" s="354"/>
      <c r="AJ763" s="354"/>
      <c r="AK763" s="354"/>
      <c r="AL763" s="354"/>
      <c r="AM763" s="354"/>
      <c r="AN763" s="354"/>
      <c r="AO763" s="354"/>
      <c r="AP763" s="354"/>
      <c r="AQ763" s="354"/>
      <c r="AR763" s="354"/>
      <c r="AS763" s="354"/>
      <c r="AT763" s="354"/>
      <c r="AU763" s="354"/>
      <c r="AV763" s="354"/>
      <c r="AW763" s="354"/>
    </row>
    <row r="764" spans="1:49">
      <c r="A764" s="354"/>
      <c r="B764" s="354"/>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54"/>
      <c r="AE764" s="354"/>
      <c r="AF764" s="354"/>
      <c r="AG764" s="354"/>
      <c r="AH764" s="354"/>
      <c r="AI764" s="354"/>
      <c r="AJ764" s="354"/>
      <c r="AK764" s="354"/>
      <c r="AL764" s="354"/>
      <c r="AM764" s="354"/>
      <c r="AN764" s="354"/>
      <c r="AO764" s="354"/>
      <c r="AP764" s="354"/>
      <c r="AQ764" s="354"/>
      <c r="AR764" s="354"/>
      <c r="AS764" s="354"/>
      <c r="AT764" s="354"/>
      <c r="AU764" s="354"/>
      <c r="AV764" s="354"/>
      <c r="AW764" s="354"/>
    </row>
    <row r="765" spans="1:49">
      <c r="A765" s="354"/>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c r="AA765" s="354"/>
      <c r="AB765" s="354"/>
      <c r="AC765" s="354"/>
      <c r="AD765" s="354"/>
      <c r="AE765" s="354"/>
      <c r="AF765" s="354"/>
      <c r="AG765" s="354"/>
      <c r="AH765" s="354"/>
      <c r="AI765" s="354"/>
      <c r="AJ765" s="354"/>
      <c r="AK765" s="354"/>
      <c r="AL765" s="354"/>
      <c r="AM765" s="354"/>
      <c r="AN765" s="354"/>
      <c r="AO765" s="354"/>
      <c r="AP765" s="354"/>
      <c r="AQ765" s="354"/>
      <c r="AR765" s="354"/>
      <c r="AS765" s="354"/>
      <c r="AT765" s="354"/>
      <c r="AU765" s="354"/>
      <c r="AV765" s="354"/>
      <c r="AW765" s="354"/>
    </row>
    <row r="766" spans="1:49">
      <c r="A766" s="354"/>
      <c r="B766" s="354"/>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c r="AA766" s="354"/>
      <c r="AB766" s="354"/>
      <c r="AC766" s="354"/>
      <c r="AD766" s="354"/>
      <c r="AE766" s="354"/>
      <c r="AF766" s="354"/>
      <c r="AG766" s="354"/>
      <c r="AH766" s="354"/>
      <c r="AI766" s="354"/>
      <c r="AJ766" s="354"/>
      <c r="AK766" s="354"/>
      <c r="AL766" s="354"/>
      <c r="AM766" s="354"/>
      <c r="AN766" s="354"/>
      <c r="AO766" s="354"/>
      <c r="AP766" s="354"/>
      <c r="AQ766" s="354"/>
      <c r="AR766" s="354"/>
      <c r="AS766" s="354"/>
      <c r="AT766" s="354"/>
      <c r="AU766" s="354"/>
      <c r="AV766" s="354"/>
      <c r="AW766" s="354"/>
    </row>
    <row r="767" spans="1:49">
      <c r="A767" s="354"/>
      <c r="B767" s="354"/>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c r="AA767" s="354"/>
      <c r="AB767" s="354"/>
      <c r="AC767" s="354"/>
      <c r="AD767" s="354"/>
      <c r="AE767" s="354"/>
      <c r="AF767" s="354"/>
      <c r="AG767" s="354"/>
      <c r="AH767" s="354"/>
      <c r="AI767" s="354"/>
      <c r="AJ767" s="354"/>
      <c r="AK767" s="354"/>
      <c r="AL767" s="354"/>
      <c r="AM767" s="354"/>
      <c r="AN767" s="354"/>
      <c r="AO767" s="354"/>
      <c r="AP767" s="354"/>
      <c r="AQ767" s="354"/>
      <c r="AR767" s="354"/>
      <c r="AS767" s="354"/>
      <c r="AT767" s="354"/>
      <c r="AU767" s="354"/>
      <c r="AV767" s="354"/>
      <c r="AW767" s="354"/>
    </row>
    <row r="768" spans="1:49">
      <c r="A768" s="354"/>
      <c r="B768" s="354"/>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c r="AA768" s="354"/>
      <c r="AB768" s="354"/>
      <c r="AC768" s="354"/>
      <c r="AD768" s="354"/>
      <c r="AE768" s="354"/>
      <c r="AF768" s="354"/>
      <c r="AG768" s="354"/>
      <c r="AH768" s="354"/>
      <c r="AI768" s="354"/>
      <c r="AJ768" s="354"/>
      <c r="AK768" s="354"/>
      <c r="AL768" s="354"/>
      <c r="AM768" s="354"/>
      <c r="AN768" s="354"/>
      <c r="AO768" s="354"/>
      <c r="AP768" s="354"/>
      <c r="AQ768" s="354"/>
      <c r="AR768" s="354"/>
      <c r="AS768" s="354"/>
      <c r="AT768" s="354"/>
      <c r="AU768" s="354"/>
      <c r="AV768" s="354"/>
      <c r="AW768" s="354"/>
    </row>
    <row r="769" spans="1:49">
      <c r="A769" s="354"/>
      <c r="B769" s="354"/>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c r="AA769" s="354"/>
      <c r="AB769" s="354"/>
      <c r="AC769" s="354"/>
      <c r="AD769" s="354"/>
      <c r="AE769" s="354"/>
      <c r="AF769" s="354"/>
      <c r="AG769" s="354"/>
      <c r="AH769" s="354"/>
      <c r="AI769" s="354"/>
      <c r="AJ769" s="354"/>
      <c r="AK769" s="354"/>
      <c r="AL769" s="354"/>
      <c r="AM769" s="354"/>
      <c r="AN769" s="354"/>
      <c r="AO769" s="354"/>
      <c r="AP769" s="354"/>
      <c r="AQ769" s="354"/>
      <c r="AR769" s="354"/>
      <c r="AS769" s="354"/>
      <c r="AT769" s="354"/>
      <c r="AU769" s="354"/>
      <c r="AV769" s="354"/>
      <c r="AW769" s="354"/>
    </row>
    <row r="770" spans="1:49">
      <c r="A770" s="354"/>
      <c r="B770" s="354"/>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c r="AA770" s="354"/>
      <c r="AB770" s="354"/>
      <c r="AC770" s="354"/>
      <c r="AD770" s="354"/>
      <c r="AE770" s="354"/>
      <c r="AF770" s="354"/>
      <c r="AG770" s="354"/>
      <c r="AH770" s="354"/>
      <c r="AI770" s="354"/>
      <c r="AJ770" s="354"/>
      <c r="AK770" s="354"/>
      <c r="AL770" s="354"/>
      <c r="AM770" s="354"/>
      <c r="AN770" s="354"/>
      <c r="AO770" s="354"/>
      <c r="AP770" s="354"/>
      <c r="AQ770" s="354"/>
      <c r="AR770" s="354"/>
      <c r="AS770" s="354"/>
      <c r="AT770" s="354"/>
      <c r="AU770" s="354"/>
      <c r="AV770" s="354"/>
      <c r="AW770" s="354"/>
    </row>
    <row r="771" spans="1:49">
      <c r="A771" s="354"/>
      <c r="B771" s="354"/>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c r="AA771" s="354"/>
      <c r="AB771" s="354"/>
      <c r="AC771" s="354"/>
      <c r="AD771" s="354"/>
      <c r="AE771" s="354"/>
      <c r="AF771" s="354"/>
      <c r="AG771" s="354"/>
      <c r="AH771" s="354"/>
      <c r="AI771" s="354"/>
      <c r="AJ771" s="354"/>
      <c r="AK771" s="354"/>
      <c r="AL771" s="354"/>
      <c r="AM771" s="354"/>
      <c r="AN771" s="354"/>
      <c r="AO771" s="354"/>
      <c r="AP771" s="354"/>
      <c r="AQ771" s="354"/>
      <c r="AR771" s="354"/>
      <c r="AS771" s="354"/>
      <c r="AT771" s="354"/>
      <c r="AU771" s="354"/>
      <c r="AV771" s="354"/>
      <c r="AW771" s="354"/>
    </row>
    <row r="772" spans="1:49">
      <c r="A772" s="354"/>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54"/>
      <c r="AE772" s="354"/>
      <c r="AF772" s="354"/>
      <c r="AG772" s="354"/>
      <c r="AH772" s="354"/>
      <c r="AI772" s="354"/>
      <c r="AJ772" s="354"/>
      <c r="AK772" s="354"/>
      <c r="AL772" s="354"/>
      <c r="AM772" s="354"/>
      <c r="AN772" s="354"/>
      <c r="AO772" s="354"/>
      <c r="AP772" s="354"/>
      <c r="AQ772" s="354"/>
      <c r="AR772" s="354"/>
      <c r="AS772" s="354"/>
      <c r="AT772" s="354"/>
      <c r="AU772" s="354"/>
      <c r="AV772" s="354"/>
      <c r="AW772" s="354"/>
    </row>
    <row r="773" spans="1:49">
      <c r="A773" s="354"/>
      <c r="B773" s="354"/>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c r="AA773" s="354"/>
      <c r="AB773" s="354"/>
      <c r="AC773" s="354"/>
      <c r="AD773" s="354"/>
      <c r="AE773" s="354"/>
      <c r="AF773" s="354"/>
      <c r="AG773" s="354"/>
      <c r="AH773" s="354"/>
      <c r="AI773" s="354"/>
      <c r="AJ773" s="354"/>
      <c r="AK773" s="354"/>
      <c r="AL773" s="354"/>
      <c r="AM773" s="354"/>
      <c r="AN773" s="354"/>
      <c r="AO773" s="354"/>
      <c r="AP773" s="354"/>
      <c r="AQ773" s="354"/>
      <c r="AR773" s="354"/>
      <c r="AS773" s="354"/>
      <c r="AT773" s="354"/>
      <c r="AU773" s="354"/>
      <c r="AV773" s="354"/>
      <c r="AW773" s="354"/>
    </row>
    <row r="774" spans="1:49">
      <c r="A774" s="354"/>
      <c r="B774" s="354"/>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c r="AA774" s="354"/>
      <c r="AB774" s="354"/>
      <c r="AC774" s="354"/>
      <c r="AD774" s="354"/>
      <c r="AE774" s="354"/>
      <c r="AF774" s="354"/>
      <c r="AG774" s="354"/>
      <c r="AH774" s="354"/>
      <c r="AI774" s="354"/>
      <c r="AJ774" s="354"/>
      <c r="AK774" s="354"/>
      <c r="AL774" s="354"/>
      <c r="AM774" s="354"/>
      <c r="AN774" s="354"/>
      <c r="AO774" s="354"/>
      <c r="AP774" s="354"/>
      <c r="AQ774" s="354"/>
      <c r="AR774" s="354"/>
      <c r="AS774" s="354"/>
      <c r="AT774" s="354"/>
      <c r="AU774" s="354"/>
      <c r="AV774" s="354"/>
      <c r="AW774" s="354"/>
    </row>
    <row r="775" spans="1:49">
      <c r="A775" s="354"/>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c r="AA775" s="354"/>
      <c r="AB775" s="354"/>
      <c r="AC775" s="354"/>
      <c r="AD775" s="354"/>
      <c r="AE775" s="354"/>
      <c r="AF775" s="354"/>
      <c r="AG775" s="354"/>
      <c r="AH775" s="354"/>
      <c r="AI775" s="354"/>
      <c r="AJ775" s="354"/>
      <c r="AK775" s="354"/>
      <c r="AL775" s="354"/>
      <c r="AM775" s="354"/>
      <c r="AN775" s="354"/>
      <c r="AO775" s="354"/>
      <c r="AP775" s="354"/>
      <c r="AQ775" s="354"/>
      <c r="AR775" s="354"/>
      <c r="AS775" s="354"/>
      <c r="AT775" s="354"/>
      <c r="AU775" s="354"/>
      <c r="AV775" s="354"/>
      <c r="AW775" s="354"/>
    </row>
    <row r="776" spans="1:49">
      <c r="A776" s="354"/>
      <c r="B776" s="354"/>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c r="AA776" s="354"/>
      <c r="AB776" s="354"/>
      <c r="AC776" s="354"/>
      <c r="AD776" s="354"/>
      <c r="AE776" s="354"/>
      <c r="AF776" s="354"/>
      <c r="AG776" s="354"/>
      <c r="AH776" s="354"/>
      <c r="AI776" s="354"/>
      <c r="AJ776" s="354"/>
      <c r="AK776" s="354"/>
      <c r="AL776" s="354"/>
      <c r="AM776" s="354"/>
      <c r="AN776" s="354"/>
      <c r="AO776" s="354"/>
      <c r="AP776" s="354"/>
      <c r="AQ776" s="354"/>
      <c r="AR776" s="354"/>
      <c r="AS776" s="354"/>
      <c r="AT776" s="354"/>
      <c r="AU776" s="354"/>
      <c r="AV776" s="354"/>
      <c r="AW776" s="354"/>
    </row>
    <row r="777" spans="1:49">
      <c r="A777" s="354"/>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c r="AA777" s="354"/>
      <c r="AB777" s="354"/>
      <c r="AC777" s="354"/>
      <c r="AD777" s="354"/>
      <c r="AE777" s="354"/>
      <c r="AF777" s="354"/>
      <c r="AG777" s="354"/>
      <c r="AH777" s="354"/>
      <c r="AI777" s="354"/>
      <c r="AJ777" s="354"/>
      <c r="AK777" s="354"/>
      <c r="AL777" s="354"/>
      <c r="AM777" s="354"/>
      <c r="AN777" s="354"/>
      <c r="AO777" s="354"/>
      <c r="AP777" s="354"/>
      <c r="AQ777" s="354"/>
      <c r="AR777" s="354"/>
      <c r="AS777" s="354"/>
      <c r="AT777" s="354"/>
      <c r="AU777" s="354"/>
      <c r="AV777" s="354"/>
      <c r="AW777" s="354"/>
    </row>
    <row r="778" spans="1:49">
      <c r="A778" s="354"/>
      <c r="B778" s="354"/>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c r="AA778" s="354"/>
      <c r="AB778" s="354"/>
      <c r="AC778" s="354"/>
      <c r="AD778" s="354"/>
      <c r="AE778" s="354"/>
      <c r="AF778" s="354"/>
      <c r="AG778" s="354"/>
      <c r="AH778" s="354"/>
      <c r="AI778" s="354"/>
      <c r="AJ778" s="354"/>
      <c r="AK778" s="354"/>
      <c r="AL778" s="354"/>
      <c r="AM778" s="354"/>
      <c r="AN778" s="354"/>
      <c r="AO778" s="354"/>
      <c r="AP778" s="354"/>
      <c r="AQ778" s="354"/>
      <c r="AR778" s="354"/>
      <c r="AS778" s="354"/>
      <c r="AT778" s="354"/>
      <c r="AU778" s="354"/>
      <c r="AV778" s="354"/>
      <c r="AW778" s="354"/>
    </row>
    <row r="779" spans="1:49">
      <c r="A779" s="354"/>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c r="AA779" s="354"/>
      <c r="AB779" s="354"/>
      <c r="AC779" s="354"/>
      <c r="AD779" s="354"/>
      <c r="AE779" s="354"/>
      <c r="AF779" s="354"/>
      <c r="AG779" s="354"/>
      <c r="AH779" s="354"/>
      <c r="AI779" s="354"/>
      <c r="AJ779" s="354"/>
      <c r="AK779" s="354"/>
      <c r="AL779" s="354"/>
      <c r="AM779" s="354"/>
      <c r="AN779" s="354"/>
      <c r="AO779" s="354"/>
      <c r="AP779" s="354"/>
      <c r="AQ779" s="354"/>
      <c r="AR779" s="354"/>
      <c r="AS779" s="354"/>
      <c r="AT779" s="354"/>
      <c r="AU779" s="354"/>
      <c r="AV779" s="354"/>
      <c r="AW779" s="354"/>
    </row>
    <row r="780" spans="1:49">
      <c r="A780" s="354"/>
      <c r="B780" s="354"/>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c r="AA780" s="354"/>
      <c r="AB780" s="354"/>
      <c r="AC780" s="354"/>
      <c r="AD780" s="354"/>
      <c r="AE780" s="354"/>
      <c r="AF780" s="354"/>
      <c r="AG780" s="354"/>
      <c r="AH780" s="354"/>
      <c r="AI780" s="354"/>
      <c r="AJ780" s="354"/>
      <c r="AK780" s="354"/>
      <c r="AL780" s="354"/>
      <c r="AM780" s="354"/>
      <c r="AN780" s="354"/>
      <c r="AO780" s="354"/>
      <c r="AP780" s="354"/>
      <c r="AQ780" s="354"/>
      <c r="AR780" s="354"/>
      <c r="AS780" s="354"/>
      <c r="AT780" s="354"/>
      <c r="AU780" s="354"/>
      <c r="AV780" s="354"/>
      <c r="AW780" s="354"/>
    </row>
    <row r="781" spans="1:49">
      <c r="A781" s="354"/>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c r="AA781" s="354"/>
      <c r="AB781" s="354"/>
      <c r="AC781" s="354"/>
      <c r="AD781" s="354"/>
      <c r="AE781" s="354"/>
      <c r="AF781" s="354"/>
      <c r="AG781" s="354"/>
      <c r="AH781" s="354"/>
      <c r="AI781" s="354"/>
      <c r="AJ781" s="354"/>
      <c r="AK781" s="354"/>
      <c r="AL781" s="354"/>
      <c r="AM781" s="354"/>
      <c r="AN781" s="354"/>
      <c r="AO781" s="354"/>
      <c r="AP781" s="354"/>
      <c r="AQ781" s="354"/>
      <c r="AR781" s="354"/>
      <c r="AS781" s="354"/>
      <c r="AT781" s="354"/>
      <c r="AU781" s="354"/>
      <c r="AV781" s="354"/>
      <c r="AW781" s="354"/>
    </row>
    <row r="782" spans="1:49">
      <c r="A782" s="354"/>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c r="AA782" s="354"/>
      <c r="AB782" s="354"/>
      <c r="AC782" s="354"/>
      <c r="AD782" s="354"/>
      <c r="AE782" s="354"/>
      <c r="AF782" s="354"/>
      <c r="AG782" s="354"/>
      <c r="AH782" s="354"/>
      <c r="AI782" s="354"/>
      <c r="AJ782" s="354"/>
      <c r="AK782" s="354"/>
      <c r="AL782" s="354"/>
      <c r="AM782" s="354"/>
      <c r="AN782" s="354"/>
      <c r="AO782" s="354"/>
      <c r="AP782" s="354"/>
      <c r="AQ782" s="354"/>
      <c r="AR782" s="354"/>
      <c r="AS782" s="354"/>
      <c r="AT782" s="354"/>
      <c r="AU782" s="354"/>
      <c r="AV782" s="354"/>
      <c r="AW782" s="354"/>
    </row>
    <row r="783" spans="1:49">
      <c r="A783" s="354"/>
      <c r="B783" s="354"/>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c r="AA783" s="354"/>
      <c r="AB783" s="354"/>
      <c r="AC783" s="354"/>
      <c r="AD783" s="354"/>
      <c r="AE783" s="354"/>
      <c r="AF783" s="354"/>
      <c r="AG783" s="354"/>
      <c r="AH783" s="354"/>
      <c r="AI783" s="354"/>
      <c r="AJ783" s="354"/>
      <c r="AK783" s="354"/>
      <c r="AL783" s="354"/>
      <c r="AM783" s="354"/>
      <c r="AN783" s="354"/>
      <c r="AO783" s="354"/>
      <c r="AP783" s="354"/>
      <c r="AQ783" s="354"/>
      <c r="AR783" s="354"/>
      <c r="AS783" s="354"/>
      <c r="AT783" s="354"/>
      <c r="AU783" s="354"/>
      <c r="AV783" s="354"/>
      <c r="AW783" s="354"/>
    </row>
    <row r="784" spans="1:49">
      <c r="A784" s="354"/>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354"/>
      <c r="AE784" s="354"/>
      <c r="AF784" s="354"/>
      <c r="AG784" s="354"/>
      <c r="AH784" s="354"/>
      <c r="AI784" s="354"/>
      <c r="AJ784" s="354"/>
      <c r="AK784" s="354"/>
      <c r="AL784" s="354"/>
      <c r="AM784" s="354"/>
      <c r="AN784" s="354"/>
      <c r="AO784" s="354"/>
      <c r="AP784" s="354"/>
      <c r="AQ784" s="354"/>
      <c r="AR784" s="354"/>
      <c r="AS784" s="354"/>
      <c r="AT784" s="354"/>
      <c r="AU784" s="354"/>
      <c r="AV784" s="354"/>
      <c r="AW784" s="354"/>
    </row>
    <row r="785" spans="1:49">
      <c r="A785" s="354"/>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c r="AA785" s="354"/>
      <c r="AB785" s="354"/>
      <c r="AC785" s="354"/>
      <c r="AD785" s="354"/>
      <c r="AE785" s="354"/>
      <c r="AF785" s="354"/>
      <c r="AG785" s="354"/>
      <c r="AH785" s="354"/>
      <c r="AI785" s="354"/>
      <c r="AJ785" s="354"/>
      <c r="AK785" s="354"/>
      <c r="AL785" s="354"/>
      <c r="AM785" s="354"/>
      <c r="AN785" s="354"/>
      <c r="AO785" s="354"/>
      <c r="AP785" s="354"/>
      <c r="AQ785" s="354"/>
      <c r="AR785" s="354"/>
      <c r="AS785" s="354"/>
      <c r="AT785" s="354"/>
      <c r="AU785" s="354"/>
      <c r="AV785" s="354"/>
      <c r="AW785" s="354"/>
    </row>
    <row r="786" spans="1:49">
      <c r="A786" s="354"/>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c r="AA786" s="354"/>
      <c r="AB786" s="354"/>
      <c r="AC786" s="354"/>
      <c r="AD786" s="354"/>
      <c r="AE786" s="354"/>
      <c r="AF786" s="354"/>
      <c r="AG786" s="354"/>
      <c r="AH786" s="354"/>
      <c r="AI786" s="354"/>
      <c r="AJ786" s="354"/>
      <c r="AK786" s="354"/>
      <c r="AL786" s="354"/>
      <c r="AM786" s="354"/>
      <c r="AN786" s="354"/>
      <c r="AO786" s="354"/>
      <c r="AP786" s="354"/>
      <c r="AQ786" s="354"/>
      <c r="AR786" s="354"/>
      <c r="AS786" s="354"/>
      <c r="AT786" s="354"/>
      <c r="AU786" s="354"/>
      <c r="AV786" s="354"/>
      <c r="AW786" s="354"/>
    </row>
    <row r="787" spans="1:49">
      <c r="A787" s="354"/>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c r="AA787" s="354"/>
      <c r="AB787" s="354"/>
      <c r="AC787" s="354"/>
      <c r="AD787" s="354"/>
      <c r="AE787" s="354"/>
      <c r="AF787" s="354"/>
      <c r="AG787" s="354"/>
      <c r="AH787" s="354"/>
      <c r="AI787" s="354"/>
      <c r="AJ787" s="354"/>
      <c r="AK787" s="354"/>
      <c r="AL787" s="354"/>
      <c r="AM787" s="354"/>
      <c r="AN787" s="354"/>
      <c r="AO787" s="354"/>
      <c r="AP787" s="354"/>
      <c r="AQ787" s="354"/>
      <c r="AR787" s="354"/>
      <c r="AS787" s="354"/>
      <c r="AT787" s="354"/>
      <c r="AU787" s="354"/>
      <c r="AV787" s="354"/>
      <c r="AW787" s="354"/>
    </row>
    <row r="788" spans="1:49">
      <c r="A788" s="354"/>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54"/>
      <c r="AE788" s="354"/>
      <c r="AF788" s="354"/>
      <c r="AG788" s="354"/>
      <c r="AH788" s="354"/>
      <c r="AI788" s="354"/>
      <c r="AJ788" s="354"/>
      <c r="AK788" s="354"/>
      <c r="AL788" s="354"/>
      <c r="AM788" s="354"/>
      <c r="AN788" s="354"/>
      <c r="AO788" s="354"/>
      <c r="AP788" s="354"/>
      <c r="AQ788" s="354"/>
      <c r="AR788" s="354"/>
      <c r="AS788" s="354"/>
      <c r="AT788" s="354"/>
      <c r="AU788" s="354"/>
      <c r="AV788" s="354"/>
      <c r="AW788" s="354"/>
    </row>
    <row r="789" spans="1:49">
      <c r="A789" s="354"/>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c r="AA789" s="354"/>
      <c r="AB789" s="354"/>
      <c r="AC789" s="354"/>
      <c r="AD789" s="354"/>
      <c r="AE789" s="354"/>
      <c r="AF789" s="354"/>
      <c r="AG789" s="354"/>
      <c r="AH789" s="354"/>
      <c r="AI789" s="354"/>
      <c r="AJ789" s="354"/>
      <c r="AK789" s="354"/>
      <c r="AL789" s="354"/>
      <c r="AM789" s="354"/>
      <c r="AN789" s="354"/>
      <c r="AO789" s="354"/>
      <c r="AP789" s="354"/>
      <c r="AQ789" s="354"/>
      <c r="AR789" s="354"/>
      <c r="AS789" s="354"/>
      <c r="AT789" s="354"/>
      <c r="AU789" s="354"/>
      <c r="AV789" s="354"/>
      <c r="AW789" s="354"/>
    </row>
    <row r="790" spans="1:49">
      <c r="A790" s="354"/>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c r="AA790" s="354"/>
      <c r="AB790" s="354"/>
      <c r="AC790" s="354"/>
      <c r="AD790" s="354"/>
      <c r="AE790" s="354"/>
      <c r="AF790" s="354"/>
      <c r="AG790" s="354"/>
      <c r="AH790" s="354"/>
      <c r="AI790" s="354"/>
      <c r="AJ790" s="354"/>
      <c r="AK790" s="354"/>
      <c r="AL790" s="354"/>
      <c r="AM790" s="354"/>
      <c r="AN790" s="354"/>
      <c r="AO790" s="354"/>
      <c r="AP790" s="354"/>
      <c r="AQ790" s="354"/>
      <c r="AR790" s="354"/>
      <c r="AS790" s="354"/>
      <c r="AT790" s="354"/>
      <c r="AU790" s="354"/>
      <c r="AV790" s="354"/>
      <c r="AW790" s="354"/>
    </row>
    <row r="791" spans="1:49">
      <c r="A791" s="354"/>
      <c r="B791" s="354"/>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c r="AA791" s="354"/>
      <c r="AB791" s="354"/>
      <c r="AC791" s="354"/>
      <c r="AD791" s="354"/>
      <c r="AE791" s="354"/>
      <c r="AF791" s="354"/>
      <c r="AG791" s="354"/>
      <c r="AH791" s="354"/>
      <c r="AI791" s="354"/>
      <c r="AJ791" s="354"/>
      <c r="AK791" s="354"/>
      <c r="AL791" s="354"/>
      <c r="AM791" s="354"/>
      <c r="AN791" s="354"/>
      <c r="AO791" s="354"/>
      <c r="AP791" s="354"/>
      <c r="AQ791" s="354"/>
      <c r="AR791" s="354"/>
      <c r="AS791" s="354"/>
      <c r="AT791" s="354"/>
      <c r="AU791" s="354"/>
      <c r="AV791" s="354"/>
      <c r="AW791" s="354"/>
    </row>
    <row r="792" spans="1:49">
      <c r="A792" s="354"/>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c r="AA792" s="354"/>
      <c r="AB792" s="354"/>
      <c r="AC792" s="354"/>
      <c r="AD792" s="354"/>
      <c r="AE792" s="354"/>
      <c r="AF792" s="354"/>
      <c r="AG792" s="354"/>
      <c r="AH792" s="354"/>
      <c r="AI792" s="354"/>
      <c r="AJ792" s="354"/>
      <c r="AK792" s="354"/>
      <c r="AL792" s="354"/>
      <c r="AM792" s="354"/>
      <c r="AN792" s="354"/>
      <c r="AO792" s="354"/>
      <c r="AP792" s="354"/>
      <c r="AQ792" s="354"/>
      <c r="AR792" s="354"/>
      <c r="AS792" s="354"/>
      <c r="AT792" s="354"/>
      <c r="AU792" s="354"/>
      <c r="AV792" s="354"/>
      <c r="AW792" s="354"/>
    </row>
    <row r="793" spans="1:49">
      <c r="A793" s="354"/>
      <c r="B793" s="354"/>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c r="AA793" s="354"/>
      <c r="AB793" s="354"/>
      <c r="AC793" s="354"/>
      <c r="AD793" s="354"/>
      <c r="AE793" s="354"/>
      <c r="AF793" s="354"/>
      <c r="AG793" s="354"/>
      <c r="AH793" s="354"/>
      <c r="AI793" s="354"/>
      <c r="AJ793" s="354"/>
      <c r="AK793" s="354"/>
      <c r="AL793" s="354"/>
      <c r="AM793" s="354"/>
      <c r="AN793" s="354"/>
      <c r="AO793" s="354"/>
      <c r="AP793" s="354"/>
      <c r="AQ793" s="354"/>
      <c r="AR793" s="354"/>
      <c r="AS793" s="354"/>
      <c r="AT793" s="354"/>
      <c r="AU793" s="354"/>
      <c r="AV793" s="354"/>
      <c r="AW793" s="354"/>
    </row>
    <row r="794" spans="1:49">
      <c r="A794" s="354"/>
      <c r="B794" s="354"/>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c r="AA794" s="354"/>
      <c r="AB794" s="354"/>
      <c r="AC794" s="354"/>
      <c r="AD794" s="354"/>
      <c r="AE794" s="354"/>
      <c r="AF794" s="354"/>
      <c r="AG794" s="354"/>
      <c r="AH794" s="354"/>
      <c r="AI794" s="354"/>
      <c r="AJ794" s="354"/>
      <c r="AK794" s="354"/>
      <c r="AL794" s="354"/>
      <c r="AM794" s="354"/>
      <c r="AN794" s="354"/>
      <c r="AO794" s="354"/>
      <c r="AP794" s="354"/>
      <c r="AQ794" s="354"/>
      <c r="AR794" s="354"/>
      <c r="AS794" s="354"/>
      <c r="AT794" s="354"/>
      <c r="AU794" s="354"/>
      <c r="AV794" s="354"/>
      <c r="AW794" s="354"/>
    </row>
    <row r="795" spans="1:49">
      <c r="A795" s="354"/>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c r="AA795" s="354"/>
      <c r="AB795" s="354"/>
      <c r="AC795" s="354"/>
      <c r="AD795" s="354"/>
      <c r="AE795" s="354"/>
      <c r="AF795" s="354"/>
      <c r="AG795" s="354"/>
      <c r="AH795" s="354"/>
      <c r="AI795" s="354"/>
      <c r="AJ795" s="354"/>
      <c r="AK795" s="354"/>
      <c r="AL795" s="354"/>
      <c r="AM795" s="354"/>
      <c r="AN795" s="354"/>
      <c r="AO795" s="354"/>
      <c r="AP795" s="354"/>
      <c r="AQ795" s="354"/>
      <c r="AR795" s="354"/>
      <c r="AS795" s="354"/>
      <c r="AT795" s="354"/>
      <c r="AU795" s="354"/>
      <c r="AV795" s="354"/>
      <c r="AW795" s="354"/>
    </row>
    <row r="796" spans="1:49">
      <c r="A796" s="354"/>
      <c r="B796" s="354"/>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c r="AA796" s="354"/>
      <c r="AB796" s="354"/>
      <c r="AC796" s="354"/>
      <c r="AD796" s="354"/>
      <c r="AE796" s="354"/>
      <c r="AF796" s="354"/>
      <c r="AG796" s="354"/>
      <c r="AH796" s="354"/>
      <c r="AI796" s="354"/>
      <c r="AJ796" s="354"/>
      <c r="AK796" s="354"/>
      <c r="AL796" s="354"/>
      <c r="AM796" s="354"/>
      <c r="AN796" s="354"/>
      <c r="AO796" s="354"/>
      <c r="AP796" s="354"/>
      <c r="AQ796" s="354"/>
      <c r="AR796" s="354"/>
      <c r="AS796" s="354"/>
      <c r="AT796" s="354"/>
      <c r="AU796" s="354"/>
      <c r="AV796" s="354"/>
      <c r="AW796" s="354"/>
    </row>
    <row r="797" spans="1:49">
      <c r="A797" s="354"/>
      <c r="B797" s="354"/>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c r="AA797" s="354"/>
      <c r="AB797" s="354"/>
      <c r="AC797" s="354"/>
      <c r="AD797" s="354"/>
      <c r="AE797" s="354"/>
      <c r="AF797" s="354"/>
      <c r="AG797" s="354"/>
      <c r="AH797" s="354"/>
      <c r="AI797" s="354"/>
      <c r="AJ797" s="354"/>
      <c r="AK797" s="354"/>
      <c r="AL797" s="354"/>
      <c r="AM797" s="354"/>
      <c r="AN797" s="354"/>
      <c r="AO797" s="354"/>
      <c r="AP797" s="354"/>
      <c r="AQ797" s="354"/>
      <c r="AR797" s="354"/>
      <c r="AS797" s="354"/>
      <c r="AT797" s="354"/>
      <c r="AU797" s="354"/>
      <c r="AV797" s="354"/>
      <c r="AW797" s="354"/>
    </row>
    <row r="798" spans="1:49">
      <c r="A798" s="354"/>
      <c r="B798" s="354"/>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c r="AA798" s="354"/>
      <c r="AB798" s="354"/>
      <c r="AC798" s="354"/>
      <c r="AD798" s="354"/>
      <c r="AE798" s="354"/>
      <c r="AF798" s="354"/>
      <c r="AG798" s="354"/>
      <c r="AH798" s="354"/>
      <c r="AI798" s="354"/>
      <c r="AJ798" s="354"/>
      <c r="AK798" s="354"/>
      <c r="AL798" s="354"/>
      <c r="AM798" s="354"/>
      <c r="AN798" s="354"/>
      <c r="AO798" s="354"/>
      <c r="AP798" s="354"/>
      <c r="AQ798" s="354"/>
      <c r="AR798" s="354"/>
      <c r="AS798" s="354"/>
      <c r="AT798" s="354"/>
      <c r="AU798" s="354"/>
      <c r="AV798" s="354"/>
      <c r="AW798" s="354"/>
    </row>
    <row r="799" spans="1:49">
      <c r="A799" s="354"/>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c r="AA799" s="354"/>
      <c r="AB799" s="354"/>
      <c r="AC799" s="354"/>
      <c r="AD799" s="354"/>
      <c r="AE799" s="354"/>
      <c r="AF799" s="354"/>
      <c r="AG799" s="354"/>
      <c r="AH799" s="354"/>
      <c r="AI799" s="354"/>
      <c r="AJ799" s="354"/>
      <c r="AK799" s="354"/>
      <c r="AL799" s="354"/>
      <c r="AM799" s="354"/>
      <c r="AN799" s="354"/>
      <c r="AO799" s="354"/>
      <c r="AP799" s="354"/>
      <c r="AQ799" s="354"/>
      <c r="AR799" s="354"/>
      <c r="AS799" s="354"/>
      <c r="AT799" s="354"/>
      <c r="AU799" s="354"/>
      <c r="AV799" s="354"/>
      <c r="AW799" s="354"/>
    </row>
    <row r="800" spans="1:49">
      <c r="A800" s="354"/>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c r="AA800" s="354"/>
      <c r="AB800" s="354"/>
      <c r="AC800" s="354"/>
      <c r="AD800" s="354"/>
      <c r="AE800" s="354"/>
      <c r="AF800" s="354"/>
      <c r="AG800" s="354"/>
      <c r="AH800" s="354"/>
      <c r="AI800" s="354"/>
      <c r="AJ800" s="354"/>
      <c r="AK800" s="354"/>
      <c r="AL800" s="354"/>
      <c r="AM800" s="354"/>
      <c r="AN800" s="354"/>
      <c r="AO800" s="354"/>
      <c r="AP800" s="354"/>
      <c r="AQ800" s="354"/>
      <c r="AR800" s="354"/>
      <c r="AS800" s="354"/>
      <c r="AT800" s="354"/>
      <c r="AU800" s="354"/>
      <c r="AV800" s="354"/>
      <c r="AW800" s="354"/>
    </row>
    <row r="801" spans="1:49">
      <c r="A801" s="354"/>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c r="AA801" s="354"/>
      <c r="AB801" s="354"/>
      <c r="AC801" s="354"/>
      <c r="AD801" s="354"/>
      <c r="AE801" s="354"/>
      <c r="AF801" s="354"/>
      <c r="AG801" s="354"/>
      <c r="AH801" s="354"/>
      <c r="AI801" s="354"/>
      <c r="AJ801" s="354"/>
      <c r="AK801" s="354"/>
      <c r="AL801" s="354"/>
      <c r="AM801" s="354"/>
      <c r="AN801" s="354"/>
      <c r="AO801" s="354"/>
      <c r="AP801" s="354"/>
      <c r="AQ801" s="354"/>
      <c r="AR801" s="354"/>
      <c r="AS801" s="354"/>
      <c r="AT801" s="354"/>
      <c r="AU801" s="354"/>
      <c r="AV801" s="354"/>
      <c r="AW801" s="354"/>
    </row>
    <row r="802" spans="1:49">
      <c r="A802" s="354"/>
      <c r="B802" s="354"/>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c r="AA802" s="354"/>
      <c r="AB802" s="354"/>
      <c r="AC802" s="354"/>
      <c r="AD802" s="354"/>
      <c r="AE802" s="354"/>
      <c r="AF802" s="354"/>
      <c r="AG802" s="354"/>
      <c r="AH802" s="354"/>
      <c r="AI802" s="354"/>
      <c r="AJ802" s="354"/>
      <c r="AK802" s="354"/>
      <c r="AL802" s="354"/>
      <c r="AM802" s="354"/>
      <c r="AN802" s="354"/>
      <c r="AO802" s="354"/>
      <c r="AP802" s="354"/>
      <c r="AQ802" s="354"/>
      <c r="AR802" s="354"/>
      <c r="AS802" s="354"/>
      <c r="AT802" s="354"/>
      <c r="AU802" s="354"/>
      <c r="AV802" s="354"/>
      <c r="AW802" s="354"/>
    </row>
    <row r="803" spans="1:49">
      <c r="A803" s="354"/>
      <c r="B803" s="354"/>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c r="AA803" s="354"/>
      <c r="AB803" s="354"/>
      <c r="AC803" s="354"/>
      <c r="AD803" s="354"/>
      <c r="AE803" s="354"/>
      <c r="AF803" s="354"/>
      <c r="AG803" s="354"/>
      <c r="AH803" s="354"/>
      <c r="AI803" s="354"/>
      <c r="AJ803" s="354"/>
      <c r="AK803" s="354"/>
      <c r="AL803" s="354"/>
      <c r="AM803" s="354"/>
      <c r="AN803" s="354"/>
      <c r="AO803" s="354"/>
      <c r="AP803" s="354"/>
      <c r="AQ803" s="354"/>
      <c r="AR803" s="354"/>
      <c r="AS803" s="354"/>
      <c r="AT803" s="354"/>
      <c r="AU803" s="354"/>
      <c r="AV803" s="354"/>
      <c r="AW803" s="354"/>
    </row>
    <row r="804" spans="1:49">
      <c r="A804" s="354"/>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c r="AA804" s="354"/>
      <c r="AB804" s="354"/>
      <c r="AC804" s="354"/>
      <c r="AD804" s="354"/>
      <c r="AE804" s="354"/>
      <c r="AF804" s="354"/>
      <c r="AG804" s="354"/>
      <c r="AH804" s="354"/>
      <c r="AI804" s="354"/>
      <c r="AJ804" s="354"/>
      <c r="AK804" s="354"/>
      <c r="AL804" s="354"/>
      <c r="AM804" s="354"/>
      <c r="AN804" s="354"/>
      <c r="AO804" s="354"/>
      <c r="AP804" s="354"/>
      <c r="AQ804" s="354"/>
      <c r="AR804" s="354"/>
      <c r="AS804" s="354"/>
      <c r="AT804" s="354"/>
      <c r="AU804" s="354"/>
      <c r="AV804" s="354"/>
      <c r="AW804" s="354"/>
    </row>
    <row r="805" spans="1:49">
      <c r="A805" s="354"/>
      <c r="B805" s="354"/>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c r="AA805" s="354"/>
      <c r="AB805" s="354"/>
      <c r="AC805" s="354"/>
      <c r="AD805" s="354"/>
      <c r="AE805" s="354"/>
      <c r="AF805" s="354"/>
      <c r="AG805" s="354"/>
      <c r="AH805" s="354"/>
      <c r="AI805" s="354"/>
      <c r="AJ805" s="354"/>
      <c r="AK805" s="354"/>
      <c r="AL805" s="354"/>
      <c r="AM805" s="354"/>
      <c r="AN805" s="354"/>
      <c r="AO805" s="354"/>
      <c r="AP805" s="354"/>
      <c r="AQ805" s="354"/>
      <c r="AR805" s="354"/>
      <c r="AS805" s="354"/>
      <c r="AT805" s="354"/>
      <c r="AU805" s="354"/>
      <c r="AV805" s="354"/>
      <c r="AW805" s="354"/>
    </row>
    <row r="806" spans="1:49">
      <c r="A806" s="354"/>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c r="AA806" s="354"/>
      <c r="AB806" s="354"/>
      <c r="AC806" s="354"/>
      <c r="AD806" s="354"/>
      <c r="AE806" s="354"/>
      <c r="AF806" s="354"/>
      <c r="AG806" s="354"/>
      <c r="AH806" s="354"/>
      <c r="AI806" s="354"/>
      <c r="AJ806" s="354"/>
      <c r="AK806" s="354"/>
      <c r="AL806" s="354"/>
      <c r="AM806" s="354"/>
      <c r="AN806" s="354"/>
      <c r="AO806" s="354"/>
      <c r="AP806" s="354"/>
      <c r="AQ806" s="354"/>
      <c r="AR806" s="354"/>
      <c r="AS806" s="354"/>
      <c r="AT806" s="354"/>
      <c r="AU806" s="354"/>
      <c r="AV806" s="354"/>
      <c r="AW806" s="354"/>
    </row>
    <row r="807" spans="1:49">
      <c r="A807" s="354"/>
      <c r="B807" s="354"/>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c r="AA807" s="354"/>
      <c r="AB807" s="354"/>
      <c r="AC807" s="354"/>
      <c r="AD807" s="354"/>
      <c r="AE807" s="354"/>
      <c r="AF807" s="354"/>
      <c r="AG807" s="354"/>
      <c r="AH807" s="354"/>
      <c r="AI807" s="354"/>
      <c r="AJ807" s="354"/>
      <c r="AK807" s="354"/>
      <c r="AL807" s="354"/>
      <c r="AM807" s="354"/>
      <c r="AN807" s="354"/>
      <c r="AO807" s="354"/>
      <c r="AP807" s="354"/>
      <c r="AQ807" s="354"/>
      <c r="AR807" s="354"/>
      <c r="AS807" s="354"/>
      <c r="AT807" s="354"/>
      <c r="AU807" s="354"/>
      <c r="AV807" s="354"/>
      <c r="AW807" s="354"/>
    </row>
    <row r="808" spans="1:49">
      <c r="A808" s="354"/>
      <c r="B808" s="354"/>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c r="AA808" s="354"/>
      <c r="AB808" s="354"/>
      <c r="AC808" s="354"/>
      <c r="AD808" s="354"/>
      <c r="AE808" s="354"/>
      <c r="AF808" s="354"/>
      <c r="AG808" s="354"/>
      <c r="AH808" s="354"/>
      <c r="AI808" s="354"/>
      <c r="AJ808" s="354"/>
      <c r="AK808" s="354"/>
      <c r="AL808" s="354"/>
      <c r="AM808" s="354"/>
      <c r="AN808" s="354"/>
      <c r="AO808" s="354"/>
      <c r="AP808" s="354"/>
      <c r="AQ808" s="354"/>
      <c r="AR808" s="354"/>
      <c r="AS808" s="354"/>
      <c r="AT808" s="354"/>
      <c r="AU808" s="354"/>
      <c r="AV808" s="354"/>
      <c r="AW808" s="354"/>
    </row>
    <row r="809" spans="1:49">
      <c r="A809" s="354"/>
      <c r="B809" s="354"/>
      <c r="C809" s="354"/>
      <c r="D809" s="354"/>
      <c r="E809" s="354"/>
      <c r="F809" s="354"/>
      <c r="G809" s="354"/>
      <c r="H809" s="354"/>
      <c r="I809" s="354"/>
      <c r="J809" s="354"/>
      <c r="K809" s="354"/>
      <c r="L809" s="354"/>
      <c r="M809" s="354"/>
      <c r="N809" s="354"/>
      <c r="O809" s="354"/>
      <c r="P809" s="354"/>
      <c r="Q809" s="354"/>
      <c r="R809" s="354"/>
      <c r="S809" s="354"/>
      <c r="T809" s="354"/>
      <c r="U809" s="354"/>
      <c r="V809" s="354"/>
      <c r="W809" s="354"/>
      <c r="X809" s="354"/>
      <c r="Y809" s="354"/>
      <c r="Z809" s="354"/>
      <c r="AA809" s="354"/>
      <c r="AB809" s="354"/>
      <c r="AC809" s="354"/>
      <c r="AD809" s="354"/>
      <c r="AE809" s="354"/>
      <c r="AF809" s="354"/>
      <c r="AG809" s="354"/>
      <c r="AH809" s="354"/>
      <c r="AI809" s="354"/>
      <c r="AJ809" s="354"/>
      <c r="AK809" s="354"/>
      <c r="AL809" s="354"/>
      <c r="AM809" s="354"/>
      <c r="AN809" s="354"/>
      <c r="AO809" s="354"/>
      <c r="AP809" s="354"/>
      <c r="AQ809" s="354"/>
      <c r="AR809" s="354"/>
      <c r="AS809" s="354"/>
      <c r="AT809" s="354"/>
      <c r="AU809" s="354"/>
      <c r="AV809" s="354"/>
      <c r="AW809" s="354"/>
    </row>
    <row r="810" spans="1:49">
      <c r="A810" s="354"/>
      <c r="B810" s="354"/>
      <c r="C810" s="354"/>
      <c r="D810" s="354"/>
      <c r="E810" s="354"/>
      <c r="F810" s="354"/>
      <c r="G810" s="354"/>
      <c r="H810" s="354"/>
      <c r="I810" s="354"/>
      <c r="J810" s="354"/>
      <c r="K810" s="354"/>
      <c r="L810" s="354"/>
      <c r="M810" s="354"/>
      <c r="N810" s="354"/>
      <c r="O810" s="354"/>
      <c r="P810" s="354"/>
      <c r="Q810" s="354"/>
      <c r="R810" s="354"/>
      <c r="S810" s="354"/>
      <c r="T810" s="354"/>
      <c r="U810" s="354"/>
      <c r="V810" s="354"/>
      <c r="W810" s="354"/>
      <c r="X810" s="354"/>
      <c r="Y810" s="354"/>
      <c r="Z810" s="354"/>
      <c r="AA810" s="354"/>
      <c r="AB810" s="354"/>
      <c r="AC810" s="354"/>
      <c r="AD810" s="354"/>
      <c r="AE810" s="354"/>
      <c r="AF810" s="354"/>
      <c r="AG810" s="354"/>
      <c r="AH810" s="354"/>
      <c r="AI810" s="354"/>
      <c r="AJ810" s="354"/>
      <c r="AK810" s="354"/>
      <c r="AL810" s="354"/>
      <c r="AM810" s="354"/>
      <c r="AN810" s="354"/>
      <c r="AO810" s="354"/>
      <c r="AP810" s="354"/>
      <c r="AQ810" s="354"/>
      <c r="AR810" s="354"/>
      <c r="AS810" s="354"/>
      <c r="AT810" s="354"/>
      <c r="AU810" s="354"/>
      <c r="AV810" s="354"/>
      <c r="AW810" s="354"/>
    </row>
    <row r="811" spans="1:49">
      <c r="A811" s="354"/>
      <c r="B811" s="354"/>
      <c r="C811" s="354"/>
      <c r="D811" s="354"/>
      <c r="E811" s="354"/>
      <c r="F811" s="354"/>
      <c r="G811" s="354"/>
      <c r="H811" s="354"/>
      <c r="I811" s="354"/>
      <c r="J811" s="354"/>
      <c r="K811" s="354"/>
      <c r="L811" s="354"/>
      <c r="M811" s="354"/>
      <c r="N811" s="354"/>
      <c r="O811" s="354"/>
      <c r="P811" s="354"/>
      <c r="Q811" s="354"/>
      <c r="R811" s="354"/>
      <c r="S811" s="354"/>
      <c r="T811" s="354"/>
      <c r="U811" s="354"/>
      <c r="V811" s="354"/>
      <c r="W811" s="354"/>
      <c r="X811" s="354"/>
      <c r="Y811" s="354"/>
      <c r="Z811" s="354"/>
      <c r="AA811" s="354"/>
      <c r="AB811" s="354"/>
      <c r="AC811" s="354"/>
      <c r="AD811" s="354"/>
      <c r="AE811" s="354"/>
      <c r="AF811" s="354"/>
      <c r="AG811" s="354"/>
      <c r="AH811" s="354"/>
      <c r="AI811" s="354"/>
      <c r="AJ811" s="354"/>
      <c r="AK811" s="354"/>
      <c r="AL811" s="354"/>
      <c r="AM811" s="354"/>
      <c r="AN811" s="354"/>
      <c r="AO811" s="354"/>
      <c r="AP811" s="354"/>
      <c r="AQ811" s="354"/>
      <c r="AR811" s="354"/>
      <c r="AS811" s="354"/>
      <c r="AT811" s="354"/>
      <c r="AU811" s="354"/>
      <c r="AV811" s="354"/>
      <c r="AW811" s="354"/>
    </row>
    <row r="812" spans="1:49">
      <c r="A812" s="354"/>
      <c r="B812" s="354"/>
      <c r="C812" s="354"/>
      <c r="D812" s="354"/>
      <c r="E812" s="354"/>
      <c r="F812" s="354"/>
      <c r="G812" s="354"/>
      <c r="H812" s="354"/>
      <c r="I812" s="354"/>
      <c r="J812" s="354"/>
      <c r="K812" s="354"/>
      <c r="L812" s="354"/>
      <c r="M812" s="354"/>
      <c r="N812" s="354"/>
      <c r="O812" s="354"/>
      <c r="P812" s="354"/>
      <c r="Q812" s="354"/>
      <c r="R812" s="354"/>
      <c r="S812" s="354"/>
      <c r="T812" s="354"/>
      <c r="U812" s="354"/>
      <c r="V812" s="354"/>
      <c r="W812" s="354"/>
      <c r="X812" s="354"/>
      <c r="Y812" s="354"/>
      <c r="Z812" s="354"/>
      <c r="AA812" s="354"/>
      <c r="AB812" s="354"/>
      <c r="AC812" s="354"/>
      <c r="AD812" s="354"/>
      <c r="AE812" s="354"/>
      <c r="AF812" s="354"/>
      <c r="AG812" s="354"/>
      <c r="AH812" s="354"/>
      <c r="AI812" s="354"/>
      <c r="AJ812" s="354"/>
      <c r="AK812" s="354"/>
      <c r="AL812" s="354"/>
      <c r="AM812" s="354"/>
      <c r="AN812" s="354"/>
      <c r="AO812" s="354"/>
      <c r="AP812" s="354"/>
      <c r="AQ812" s="354"/>
      <c r="AR812" s="354"/>
      <c r="AS812" s="354"/>
      <c r="AT812" s="354"/>
      <c r="AU812" s="354"/>
      <c r="AV812" s="354"/>
      <c r="AW812" s="354"/>
    </row>
    <row r="813" spans="1:49">
      <c r="A813" s="354"/>
      <c r="B813" s="354"/>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c r="AA813" s="354"/>
      <c r="AB813" s="354"/>
      <c r="AC813" s="354"/>
      <c r="AD813" s="354"/>
      <c r="AE813" s="354"/>
      <c r="AF813" s="354"/>
      <c r="AG813" s="354"/>
      <c r="AH813" s="354"/>
      <c r="AI813" s="354"/>
      <c r="AJ813" s="354"/>
      <c r="AK813" s="354"/>
      <c r="AL813" s="354"/>
      <c r="AM813" s="354"/>
      <c r="AN813" s="354"/>
      <c r="AO813" s="354"/>
      <c r="AP813" s="354"/>
      <c r="AQ813" s="354"/>
      <c r="AR813" s="354"/>
      <c r="AS813" s="354"/>
      <c r="AT813" s="354"/>
      <c r="AU813" s="354"/>
      <c r="AV813" s="354"/>
      <c r="AW813" s="354"/>
    </row>
    <row r="814" spans="1:49">
      <c r="A814" s="354"/>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354"/>
      <c r="AE814" s="354"/>
      <c r="AF814" s="354"/>
      <c r="AG814" s="354"/>
      <c r="AH814" s="354"/>
      <c r="AI814" s="354"/>
      <c r="AJ814" s="354"/>
      <c r="AK814" s="354"/>
      <c r="AL814" s="354"/>
      <c r="AM814" s="354"/>
      <c r="AN814" s="354"/>
      <c r="AO814" s="354"/>
      <c r="AP814" s="354"/>
      <c r="AQ814" s="354"/>
      <c r="AR814" s="354"/>
      <c r="AS814" s="354"/>
      <c r="AT814" s="354"/>
      <c r="AU814" s="354"/>
      <c r="AV814" s="354"/>
      <c r="AW814" s="354"/>
    </row>
    <row r="815" spans="1:49">
      <c r="A815" s="354"/>
      <c r="B815" s="354"/>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c r="AA815" s="354"/>
      <c r="AB815" s="354"/>
      <c r="AC815" s="354"/>
      <c r="AD815" s="354"/>
      <c r="AE815" s="354"/>
      <c r="AF815" s="354"/>
      <c r="AG815" s="354"/>
      <c r="AH815" s="354"/>
      <c r="AI815" s="354"/>
      <c r="AJ815" s="354"/>
      <c r="AK815" s="354"/>
      <c r="AL815" s="354"/>
      <c r="AM815" s="354"/>
      <c r="AN815" s="354"/>
      <c r="AO815" s="354"/>
      <c r="AP815" s="354"/>
      <c r="AQ815" s="354"/>
      <c r="AR815" s="354"/>
      <c r="AS815" s="354"/>
      <c r="AT815" s="354"/>
      <c r="AU815" s="354"/>
      <c r="AV815" s="354"/>
      <c r="AW815" s="354"/>
    </row>
    <row r="816" spans="1:49">
      <c r="A816" s="354"/>
      <c r="B816" s="354"/>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c r="AA816" s="354"/>
      <c r="AB816" s="354"/>
      <c r="AC816" s="354"/>
      <c r="AD816" s="354"/>
      <c r="AE816" s="354"/>
      <c r="AF816" s="354"/>
      <c r="AG816" s="354"/>
      <c r="AH816" s="354"/>
      <c r="AI816" s="354"/>
      <c r="AJ816" s="354"/>
      <c r="AK816" s="354"/>
      <c r="AL816" s="354"/>
      <c r="AM816" s="354"/>
      <c r="AN816" s="354"/>
      <c r="AO816" s="354"/>
      <c r="AP816" s="354"/>
      <c r="AQ816" s="354"/>
      <c r="AR816" s="354"/>
      <c r="AS816" s="354"/>
      <c r="AT816" s="354"/>
      <c r="AU816" s="354"/>
      <c r="AV816" s="354"/>
      <c r="AW816" s="354"/>
    </row>
    <row r="817" spans="1:49">
      <c r="A817" s="354"/>
      <c r="B817" s="354"/>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c r="AA817" s="354"/>
      <c r="AB817" s="354"/>
      <c r="AC817" s="354"/>
      <c r="AD817" s="354"/>
      <c r="AE817" s="354"/>
      <c r="AF817" s="354"/>
      <c r="AG817" s="354"/>
      <c r="AH817" s="354"/>
      <c r="AI817" s="354"/>
      <c r="AJ817" s="354"/>
      <c r="AK817" s="354"/>
      <c r="AL817" s="354"/>
      <c r="AM817" s="354"/>
      <c r="AN817" s="354"/>
      <c r="AO817" s="354"/>
      <c r="AP817" s="354"/>
      <c r="AQ817" s="354"/>
      <c r="AR817" s="354"/>
      <c r="AS817" s="354"/>
      <c r="AT817" s="354"/>
      <c r="AU817" s="354"/>
      <c r="AV817" s="354"/>
      <c r="AW817" s="354"/>
    </row>
    <row r="818" spans="1:49">
      <c r="A818" s="354"/>
      <c r="B818" s="354"/>
      <c r="C818" s="354"/>
      <c r="D818" s="354"/>
      <c r="E818" s="354"/>
      <c r="F818" s="354"/>
      <c r="G818" s="354"/>
      <c r="H818" s="354"/>
      <c r="I818" s="354"/>
      <c r="J818" s="354"/>
      <c r="K818" s="354"/>
      <c r="L818" s="354"/>
      <c r="M818" s="354"/>
      <c r="N818" s="354"/>
      <c r="O818" s="354"/>
      <c r="P818" s="354"/>
      <c r="Q818" s="354"/>
      <c r="R818" s="354"/>
      <c r="S818" s="354"/>
      <c r="T818" s="354"/>
      <c r="U818" s="354"/>
      <c r="V818" s="354"/>
      <c r="W818" s="354"/>
      <c r="X818" s="354"/>
      <c r="Y818" s="354"/>
      <c r="Z818" s="354"/>
      <c r="AA818" s="354"/>
      <c r="AB818" s="354"/>
      <c r="AC818" s="354"/>
      <c r="AD818" s="354"/>
      <c r="AE818" s="354"/>
      <c r="AF818" s="354"/>
      <c r="AG818" s="354"/>
      <c r="AH818" s="354"/>
      <c r="AI818" s="354"/>
      <c r="AJ818" s="354"/>
      <c r="AK818" s="354"/>
      <c r="AL818" s="354"/>
      <c r="AM818" s="354"/>
      <c r="AN818" s="354"/>
      <c r="AO818" s="354"/>
      <c r="AP818" s="354"/>
      <c r="AQ818" s="354"/>
      <c r="AR818" s="354"/>
      <c r="AS818" s="354"/>
      <c r="AT818" s="354"/>
      <c r="AU818" s="354"/>
      <c r="AV818" s="354"/>
      <c r="AW818" s="354"/>
    </row>
    <row r="819" spans="1:49">
      <c r="A819" s="354"/>
      <c r="B819" s="354"/>
      <c r="C819" s="354"/>
      <c r="D819" s="354"/>
      <c r="E819" s="354"/>
      <c r="F819" s="354"/>
      <c r="G819" s="354"/>
      <c r="H819" s="354"/>
      <c r="I819" s="354"/>
      <c r="J819" s="354"/>
      <c r="K819" s="354"/>
      <c r="L819" s="354"/>
      <c r="M819" s="354"/>
      <c r="N819" s="354"/>
      <c r="O819" s="354"/>
      <c r="P819" s="354"/>
      <c r="Q819" s="354"/>
      <c r="R819" s="354"/>
      <c r="S819" s="354"/>
      <c r="T819" s="354"/>
      <c r="U819" s="354"/>
      <c r="V819" s="354"/>
      <c r="W819" s="354"/>
      <c r="X819" s="354"/>
      <c r="Y819" s="354"/>
      <c r="Z819" s="354"/>
      <c r="AA819" s="354"/>
      <c r="AB819" s="354"/>
      <c r="AC819" s="354"/>
      <c r="AD819" s="354"/>
      <c r="AE819" s="354"/>
      <c r="AF819" s="354"/>
      <c r="AG819" s="354"/>
      <c r="AH819" s="354"/>
      <c r="AI819" s="354"/>
      <c r="AJ819" s="354"/>
      <c r="AK819" s="354"/>
      <c r="AL819" s="354"/>
      <c r="AM819" s="354"/>
      <c r="AN819" s="354"/>
      <c r="AO819" s="354"/>
      <c r="AP819" s="354"/>
      <c r="AQ819" s="354"/>
      <c r="AR819" s="354"/>
      <c r="AS819" s="354"/>
      <c r="AT819" s="354"/>
      <c r="AU819" s="354"/>
      <c r="AV819" s="354"/>
      <c r="AW819" s="354"/>
    </row>
    <row r="820" spans="1:49">
      <c r="A820" s="354"/>
      <c r="B820" s="354"/>
      <c r="C820" s="354"/>
      <c r="D820" s="354"/>
      <c r="E820" s="354"/>
      <c r="F820" s="354"/>
      <c r="G820" s="354"/>
      <c r="H820" s="354"/>
      <c r="I820" s="354"/>
      <c r="J820" s="354"/>
      <c r="K820" s="354"/>
      <c r="L820" s="354"/>
      <c r="M820" s="354"/>
      <c r="N820" s="354"/>
      <c r="O820" s="354"/>
      <c r="P820" s="354"/>
      <c r="Q820" s="354"/>
      <c r="R820" s="354"/>
      <c r="S820" s="354"/>
      <c r="T820" s="354"/>
      <c r="U820" s="354"/>
      <c r="V820" s="354"/>
      <c r="W820" s="354"/>
      <c r="X820" s="354"/>
      <c r="Y820" s="354"/>
      <c r="Z820" s="354"/>
      <c r="AA820" s="354"/>
      <c r="AB820" s="354"/>
      <c r="AC820" s="354"/>
      <c r="AD820" s="354"/>
      <c r="AE820" s="354"/>
      <c r="AF820" s="354"/>
      <c r="AG820" s="354"/>
      <c r="AH820" s="354"/>
      <c r="AI820" s="354"/>
      <c r="AJ820" s="354"/>
      <c r="AK820" s="354"/>
      <c r="AL820" s="354"/>
      <c r="AM820" s="354"/>
      <c r="AN820" s="354"/>
      <c r="AO820" s="354"/>
      <c r="AP820" s="354"/>
      <c r="AQ820" s="354"/>
      <c r="AR820" s="354"/>
      <c r="AS820" s="354"/>
      <c r="AT820" s="354"/>
      <c r="AU820" s="354"/>
      <c r="AV820" s="354"/>
      <c r="AW820" s="354"/>
    </row>
    <row r="821" spans="1:49">
      <c r="A821" s="354"/>
      <c r="B821" s="354"/>
      <c r="C821" s="354"/>
      <c r="D821" s="354"/>
      <c r="E821" s="354"/>
      <c r="F821" s="354"/>
      <c r="G821" s="354"/>
      <c r="H821" s="354"/>
      <c r="I821" s="354"/>
      <c r="J821" s="354"/>
      <c r="K821" s="354"/>
      <c r="L821" s="354"/>
      <c r="M821" s="354"/>
      <c r="N821" s="354"/>
      <c r="O821" s="354"/>
      <c r="P821" s="354"/>
      <c r="Q821" s="354"/>
      <c r="R821" s="354"/>
      <c r="S821" s="354"/>
      <c r="T821" s="354"/>
      <c r="U821" s="354"/>
      <c r="V821" s="354"/>
      <c r="W821" s="354"/>
      <c r="X821" s="354"/>
      <c r="Y821" s="354"/>
      <c r="Z821" s="354"/>
      <c r="AA821" s="354"/>
      <c r="AB821" s="354"/>
      <c r="AC821" s="354"/>
      <c r="AD821" s="354"/>
      <c r="AE821" s="354"/>
      <c r="AF821" s="354"/>
      <c r="AG821" s="354"/>
      <c r="AH821" s="354"/>
      <c r="AI821" s="354"/>
      <c r="AJ821" s="354"/>
      <c r="AK821" s="354"/>
      <c r="AL821" s="354"/>
      <c r="AM821" s="354"/>
      <c r="AN821" s="354"/>
      <c r="AO821" s="354"/>
      <c r="AP821" s="354"/>
      <c r="AQ821" s="354"/>
      <c r="AR821" s="354"/>
      <c r="AS821" s="354"/>
      <c r="AT821" s="354"/>
      <c r="AU821" s="354"/>
      <c r="AV821" s="354"/>
      <c r="AW821" s="354"/>
    </row>
    <row r="822" spans="1:49">
      <c r="A822" s="354"/>
      <c r="B822" s="354"/>
      <c r="C822" s="354"/>
      <c r="D822" s="354"/>
      <c r="E822" s="354"/>
      <c r="F822" s="354"/>
      <c r="G822" s="354"/>
      <c r="H822" s="354"/>
      <c r="I822" s="354"/>
      <c r="J822" s="354"/>
      <c r="K822" s="354"/>
      <c r="L822" s="354"/>
      <c r="M822" s="354"/>
      <c r="N822" s="354"/>
      <c r="O822" s="354"/>
      <c r="P822" s="354"/>
      <c r="Q822" s="354"/>
      <c r="R822" s="354"/>
      <c r="S822" s="354"/>
      <c r="T822" s="354"/>
      <c r="U822" s="354"/>
      <c r="V822" s="354"/>
      <c r="W822" s="354"/>
      <c r="X822" s="354"/>
      <c r="Y822" s="354"/>
      <c r="Z822" s="354"/>
      <c r="AA822" s="354"/>
      <c r="AB822" s="354"/>
      <c r="AC822" s="354"/>
      <c r="AD822" s="354"/>
      <c r="AE822" s="354"/>
      <c r="AF822" s="354"/>
      <c r="AG822" s="354"/>
      <c r="AH822" s="354"/>
      <c r="AI822" s="354"/>
      <c r="AJ822" s="354"/>
      <c r="AK822" s="354"/>
      <c r="AL822" s="354"/>
      <c r="AM822" s="354"/>
      <c r="AN822" s="354"/>
      <c r="AO822" s="354"/>
      <c r="AP822" s="354"/>
      <c r="AQ822" s="354"/>
      <c r="AR822" s="354"/>
      <c r="AS822" s="354"/>
      <c r="AT822" s="354"/>
      <c r="AU822" s="354"/>
      <c r="AV822" s="354"/>
      <c r="AW822" s="354"/>
    </row>
    <row r="823" spans="1:49">
      <c r="A823" s="354"/>
      <c r="B823" s="354"/>
      <c r="C823" s="354"/>
      <c r="D823" s="354"/>
      <c r="E823" s="354"/>
      <c r="F823" s="354"/>
      <c r="G823" s="354"/>
      <c r="H823" s="354"/>
      <c r="I823" s="354"/>
      <c r="J823" s="354"/>
      <c r="K823" s="354"/>
      <c r="L823" s="354"/>
      <c r="M823" s="354"/>
      <c r="N823" s="354"/>
      <c r="O823" s="354"/>
      <c r="P823" s="354"/>
      <c r="Q823" s="354"/>
      <c r="R823" s="354"/>
      <c r="S823" s="354"/>
      <c r="T823" s="354"/>
      <c r="U823" s="354"/>
      <c r="V823" s="354"/>
      <c r="W823" s="354"/>
      <c r="X823" s="354"/>
      <c r="Y823" s="354"/>
      <c r="Z823" s="354"/>
      <c r="AA823" s="354"/>
      <c r="AB823" s="354"/>
      <c r="AC823" s="354"/>
      <c r="AD823" s="354"/>
      <c r="AE823" s="354"/>
      <c r="AF823" s="354"/>
      <c r="AG823" s="354"/>
      <c r="AH823" s="354"/>
      <c r="AI823" s="354"/>
      <c r="AJ823" s="354"/>
      <c r="AK823" s="354"/>
      <c r="AL823" s="354"/>
      <c r="AM823" s="354"/>
      <c r="AN823" s="354"/>
      <c r="AO823" s="354"/>
      <c r="AP823" s="354"/>
      <c r="AQ823" s="354"/>
      <c r="AR823" s="354"/>
      <c r="AS823" s="354"/>
      <c r="AT823" s="354"/>
      <c r="AU823" s="354"/>
      <c r="AV823" s="354"/>
      <c r="AW823" s="354"/>
    </row>
    <row r="824" spans="1:49">
      <c r="A824" s="354"/>
      <c r="B824" s="354"/>
      <c r="C824" s="354"/>
      <c r="D824" s="354"/>
      <c r="E824" s="354"/>
      <c r="F824" s="354"/>
      <c r="G824" s="354"/>
      <c r="H824" s="354"/>
      <c r="I824" s="354"/>
      <c r="J824" s="354"/>
      <c r="K824" s="354"/>
      <c r="L824" s="354"/>
      <c r="M824" s="354"/>
      <c r="N824" s="354"/>
      <c r="O824" s="354"/>
      <c r="P824" s="354"/>
      <c r="Q824" s="354"/>
      <c r="R824" s="354"/>
      <c r="S824" s="354"/>
      <c r="T824" s="354"/>
      <c r="U824" s="354"/>
      <c r="V824" s="354"/>
      <c r="W824" s="354"/>
      <c r="X824" s="354"/>
      <c r="Y824" s="354"/>
      <c r="Z824" s="354"/>
      <c r="AA824" s="354"/>
      <c r="AB824" s="354"/>
      <c r="AC824" s="354"/>
      <c r="AD824" s="354"/>
      <c r="AE824" s="354"/>
      <c r="AF824" s="354"/>
      <c r="AG824" s="354"/>
      <c r="AH824" s="354"/>
      <c r="AI824" s="354"/>
      <c r="AJ824" s="354"/>
      <c r="AK824" s="354"/>
      <c r="AL824" s="354"/>
      <c r="AM824" s="354"/>
      <c r="AN824" s="354"/>
      <c r="AO824" s="354"/>
      <c r="AP824" s="354"/>
      <c r="AQ824" s="354"/>
      <c r="AR824" s="354"/>
      <c r="AS824" s="354"/>
      <c r="AT824" s="354"/>
      <c r="AU824" s="354"/>
      <c r="AV824" s="354"/>
      <c r="AW824" s="354"/>
    </row>
    <row r="825" spans="1:49">
      <c r="A825" s="354"/>
      <c r="B825" s="354"/>
      <c r="C825" s="354"/>
      <c r="D825" s="354"/>
      <c r="E825" s="354"/>
      <c r="F825" s="354"/>
      <c r="G825" s="354"/>
      <c r="H825" s="354"/>
      <c r="I825" s="354"/>
      <c r="J825" s="354"/>
      <c r="K825" s="354"/>
      <c r="L825" s="354"/>
      <c r="M825" s="354"/>
      <c r="N825" s="354"/>
      <c r="O825" s="354"/>
      <c r="P825" s="354"/>
      <c r="Q825" s="354"/>
      <c r="R825" s="354"/>
      <c r="S825" s="354"/>
      <c r="T825" s="354"/>
      <c r="U825" s="354"/>
      <c r="V825" s="354"/>
      <c r="W825" s="354"/>
      <c r="X825" s="354"/>
      <c r="Y825" s="354"/>
      <c r="Z825" s="354"/>
      <c r="AA825" s="354"/>
      <c r="AB825" s="354"/>
      <c r="AC825" s="354"/>
      <c r="AD825" s="354"/>
      <c r="AE825" s="354"/>
      <c r="AF825" s="354"/>
      <c r="AG825" s="354"/>
      <c r="AH825" s="354"/>
      <c r="AI825" s="354"/>
      <c r="AJ825" s="354"/>
      <c r="AK825" s="354"/>
      <c r="AL825" s="354"/>
      <c r="AM825" s="354"/>
      <c r="AN825" s="354"/>
      <c r="AO825" s="354"/>
      <c r="AP825" s="354"/>
      <c r="AQ825" s="354"/>
      <c r="AR825" s="354"/>
      <c r="AS825" s="354"/>
      <c r="AT825" s="354"/>
      <c r="AU825" s="354"/>
      <c r="AV825" s="354"/>
      <c r="AW825" s="354"/>
    </row>
    <row r="826" spans="1:49">
      <c r="A826" s="354"/>
      <c r="B826" s="354"/>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c r="AA826" s="354"/>
      <c r="AB826" s="354"/>
      <c r="AC826" s="354"/>
      <c r="AD826" s="354"/>
      <c r="AE826" s="354"/>
      <c r="AF826" s="354"/>
      <c r="AG826" s="354"/>
      <c r="AH826" s="354"/>
      <c r="AI826" s="354"/>
      <c r="AJ826" s="354"/>
      <c r="AK826" s="354"/>
      <c r="AL826" s="354"/>
      <c r="AM826" s="354"/>
      <c r="AN826" s="354"/>
      <c r="AO826" s="354"/>
      <c r="AP826" s="354"/>
      <c r="AQ826" s="354"/>
      <c r="AR826" s="354"/>
      <c r="AS826" s="354"/>
      <c r="AT826" s="354"/>
      <c r="AU826" s="354"/>
      <c r="AV826" s="354"/>
      <c r="AW826" s="354"/>
    </row>
    <row r="827" spans="1:49">
      <c r="A827" s="354"/>
      <c r="B827" s="354"/>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c r="AA827" s="354"/>
      <c r="AB827" s="354"/>
      <c r="AC827" s="354"/>
      <c r="AD827" s="354"/>
      <c r="AE827" s="354"/>
      <c r="AF827" s="354"/>
      <c r="AG827" s="354"/>
      <c r="AH827" s="354"/>
      <c r="AI827" s="354"/>
      <c r="AJ827" s="354"/>
      <c r="AK827" s="354"/>
      <c r="AL827" s="354"/>
      <c r="AM827" s="354"/>
      <c r="AN827" s="354"/>
      <c r="AO827" s="354"/>
      <c r="AP827" s="354"/>
      <c r="AQ827" s="354"/>
      <c r="AR827" s="354"/>
      <c r="AS827" s="354"/>
      <c r="AT827" s="354"/>
      <c r="AU827" s="354"/>
      <c r="AV827" s="354"/>
      <c r="AW827" s="354"/>
    </row>
    <row r="828" spans="1:49">
      <c r="A828" s="354"/>
      <c r="B828" s="354"/>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c r="AA828" s="354"/>
      <c r="AB828" s="354"/>
      <c r="AC828" s="354"/>
      <c r="AD828" s="354"/>
      <c r="AE828" s="354"/>
      <c r="AF828" s="354"/>
      <c r="AG828" s="354"/>
      <c r="AH828" s="354"/>
      <c r="AI828" s="354"/>
      <c r="AJ828" s="354"/>
      <c r="AK828" s="354"/>
      <c r="AL828" s="354"/>
      <c r="AM828" s="354"/>
      <c r="AN828" s="354"/>
      <c r="AO828" s="354"/>
      <c r="AP828" s="354"/>
      <c r="AQ828" s="354"/>
      <c r="AR828" s="354"/>
      <c r="AS828" s="354"/>
      <c r="AT828" s="354"/>
      <c r="AU828" s="354"/>
      <c r="AV828" s="354"/>
      <c r="AW828" s="354"/>
    </row>
    <row r="829" spans="1:49">
      <c r="A829" s="354"/>
      <c r="B829" s="354"/>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c r="AA829" s="354"/>
      <c r="AB829" s="354"/>
      <c r="AC829" s="354"/>
      <c r="AD829" s="354"/>
      <c r="AE829" s="354"/>
      <c r="AF829" s="354"/>
      <c r="AG829" s="354"/>
      <c r="AH829" s="354"/>
      <c r="AI829" s="354"/>
      <c r="AJ829" s="354"/>
      <c r="AK829" s="354"/>
      <c r="AL829" s="354"/>
      <c r="AM829" s="354"/>
      <c r="AN829" s="354"/>
      <c r="AO829" s="354"/>
      <c r="AP829" s="354"/>
      <c r="AQ829" s="354"/>
      <c r="AR829" s="354"/>
      <c r="AS829" s="354"/>
      <c r="AT829" s="354"/>
      <c r="AU829" s="354"/>
      <c r="AV829" s="354"/>
      <c r="AW829" s="354"/>
    </row>
    <row r="830" spans="1:49">
      <c r="A830" s="354"/>
      <c r="B830" s="354"/>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c r="AA830" s="354"/>
      <c r="AB830" s="354"/>
      <c r="AC830" s="354"/>
      <c r="AD830" s="354"/>
      <c r="AE830" s="354"/>
      <c r="AF830" s="354"/>
      <c r="AG830" s="354"/>
      <c r="AH830" s="354"/>
      <c r="AI830" s="354"/>
      <c r="AJ830" s="354"/>
      <c r="AK830" s="354"/>
      <c r="AL830" s="354"/>
      <c r="AM830" s="354"/>
      <c r="AN830" s="354"/>
      <c r="AO830" s="354"/>
      <c r="AP830" s="354"/>
      <c r="AQ830" s="354"/>
      <c r="AR830" s="354"/>
      <c r="AS830" s="354"/>
      <c r="AT830" s="354"/>
      <c r="AU830" s="354"/>
      <c r="AV830" s="354"/>
      <c r="AW830" s="354"/>
    </row>
    <row r="831" spans="1:49">
      <c r="A831" s="354"/>
      <c r="B831" s="354"/>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c r="AA831" s="354"/>
      <c r="AB831" s="354"/>
      <c r="AC831" s="354"/>
      <c r="AD831" s="354"/>
      <c r="AE831" s="354"/>
      <c r="AF831" s="354"/>
      <c r="AG831" s="354"/>
      <c r="AH831" s="354"/>
      <c r="AI831" s="354"/>
      <c r="AJ831" s="354"/>
      <c r="AK831" s="354"/>
      <c r="AL831" s="354"/>
      <c r="AM831" s="354"/>
      <c r="AN831" s="354"/>
      <c r="AO831" s="354"/>
      <c r="AP831" s="354"/>
      <c r="AQ831" s="354"/>
      <c r="AR831" s="354"/>
      <c r="AS831" s="354"/>
      <c r="AT831" s="354"/>
      <c r="AU831" s="354"/>
      <c r="AV831" s="354"/>
      <c r="AW831" s="354"/>
    </row>
    <row r="832" spans="1:49">
      <c r="A832" s="354"/>
      <c r="B832" s="354"/>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c r="AA832" s="354"/>
      <c r="AB832" s="354"/>
      <c r="AC832" s="354"/>
      <c r="AD832" s="354"/>
      <c r="AE832" s="354"/>
      <c r="AF832" s="354"/>
      <c r="AG832" s="354"/>
      <c r="AH832" s="354"/>
      <c r="AI832" s="354"/>
      <c r="AJ832" s="354"/>
      <c r="AK832" s="354"/>
      <c r="AL832" s="354"/>
      <c r="AM832" s="354"/>
      <c r="AN832" s="354"/>
      <c r="AO832" s="354"/>
      <c r="AP832" s="354"/>
      <c r="AQ832" s="354"/>
      <c r="AR832" s="354"/>
      <c r="AS832" s="354"/>
      <c r="AT832" s="354"/>
      <c r="AU832" s="354"/>
      <c r="AV832" s="354"/>
      <c r="AW832" s="354"/>
    </row>
    <row r="833" spans="1:49">
      <c r="A833" s="354"/>
      <c r="B833" s="354"/>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c r="AA833" s="354"/>
      <c r="AB833" s="354"/>
      <c r="AC833" s="354"/>
      <c r="AD833" s="354"/>
      <c r="AE833" s="354"/>
      <c r="AF833" s="354"/>
      <c r="AG833" s="354"/>
      <c r="AH833" s="354"/>
      <c r="AI833" s="354"/>
      <c r="AJ833" s="354"/>
      <c r="AK833" s="354"/>
      <c r="AL833" s="354"/>
      <c r="AM833" s="354"/>
      <c r="AN833" s="354"/>
      <c r="AO833" s="354"/>
      <c r="AP833" s="354"/>
      <c r="AQ833" s="354"/>
      <c r="AR833" s="354"/>
      <c r="AS833" s="354"/>
      <c r="AT833" s="354"/>
      <c r="AU833" s="354"/>
      <c r="AV833" s="354"/>
      <c r="AW833" s="354"/>
    </row>
    <row r="834" spans="1:49">
      <c r="A834" s="354"/>
      <c r="B834" s="354"/>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c r="AA834" s="354"/>
      <c r="AB834" s="354"/>
      <c r="AC834" s="354"/>
      <c r="AD834" s="354"/>
      <c r="AE834" s="354"/>
      <c r="AF834" s="354"/>
      <c r="AG834" s="354"/>
      <c r="AH834" s="354"/>
      <c r="AI834" s="354"/>
      <c r="AJ834" s="354"/>
      <c r="AK834" s="354"/>
      <c r="AL834" s="354"/>
      <c r="AM834" s="354"/>
      <c r="AN834" s="354"/>
      <c r="AO834" s="354"/>
      <c r="AP834" s="354"/>
      <c r="AQ834" s="354"/>
      <c r="AR834" s="354"/>
      <c r="AS834" s="354"/>
      <c r="AT834" s="354"/>
      <c r="AU834" s="354"/>
      <c r="AV834" s="354"/>
      <c r="AW834" s="354"/>
    </row>
    <row r="835" spans="1:49">
      <c r="A835" s="354"/>
      <c r="B835" s="354"/>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c r="AA835" s="354"/>
      <c r="AB835" s="354"/>
      <c r="AC835" s="354"/>
      <c r="AD835" s="354"/>
      <c r="AE835" s="354"/>
      <c r="AF835" s="354"/>
      <c r="AG835" s="354"/>
      <c r="AH835" s="354"/>
      <c r="AI835" s="354"/>
      <c r="AJ835" s="354"/>
      <c r="AK835" s="354"/>
      <c r="AL835" s="354"/>
      <c r="AM835" s="354"/>
      <c r="AN835" s="354"/>
      <c r="AO835" s="354"/>
      <c r="AP835" s="354"/>
      <c r="AQ835" s="354"/>
      <c r="AR835" s="354"/>
      <c r="AS835" s="354"/>
      <c r="AT835" s="354"/>
      <c r="AU835" s="354"/>
      <c r="AV835" s="354"/>
      <c r="AW835" s="354"/>
    </row>
    <row r="836" spans="1:49">
      <c r="A836" s="354"/>
      <c r="B836" s="354"/>
      <c r="C836" s="354"/>
      <c r="D836" s="354"/>
      <c r="E836" s="354"/>
      <c r="F836" s="354"/>
      <c r="G836" s="354"/>
      <c r="H836" s="354"/>
      <c r="I836" s="354"/>
      <c r="J836" s="354"/>
      <c r="K836" s="354"/>
      <c r="L836" s="354"/>
      <c r="M836" s="354"/>
      <c r="N836" s="354"/>
      <c r="O836" s="354"/>
      <c r="P836" s="354"/>
      <c r="Q836" s="354"/>
      <c r="R836" s="354"/>
      <c r="S836" s="354"/>
      <c r="T836" s="354"/>
      <c r="U836" s="354"/>
      <c r="V836" s="354"/>
      <c r="W836" s="354"/>
      <c r="X836" s="354"/>
      <c r="Y836" s="354"/>
      <c r="Z836" s="354"/>
      <c r="AA836" s="354"/>
      <c r="AB836" s="354"/>
      <c r="AC836" s="354"/>
      <c r="AD836" s="354"/>
      <c r="AE836" s="354"/>
      <c r="AF836" s="354"/>
      <c r="AG836" s="354"/>
      <c r="AH836" s="354"/>
      <c r="AI836" s="354"/>
      <c r="AJ836" s="354"/>
      <c r="AK836" s="354"/>
      <c r="AL836" s="354"/>
      <c r="AM836" s="354"/>
      <c r="AN836" s="354"/>
      <c r="AO836" s="354"/>
      <c r="AP836" s="354"/>
      <c r="AQ836" s="354"/>
      <c r="AR836" s="354"/>
      <c r="AS836" s="354"/>
      <c r="AT836" s="354"/>
      <c r="AU836" s="354"/>
      <c r="AV836" s="354"/>
      <c r="AW836" s="354"/>
    </row>
    <row r="837" spans="1:49">
      <c r="A837" s="354"/>
      <c r="B837" s="354"/>
      <c r="C837" s="354"/>
      <c r="D837" s="354"/>
      <c r="E837" s="354"/>
      <c r="F837" s="354"/>
      <c r="G837" s="354"/>
      <c r="H837" s="354"/>
      <c r="I837" s="354"/>
      <c r="J837" s="354"/>
      <c r="K837" s="354"/>
      <c r="L837" s="354"/>
      <c r="M837" s="354"/>
      <c r="N837" s="354"/>
      <c r="O837" s="354"/>
      <c r="P837" s="354"/>
      <c r="Q837" s="354"/>
      <c r="R837" s="354"/>
      <c r="S837" s="354"/>
      <c r="T837" s="354"/>
      <c r="U837" s="354"/>
      <c r="V837" s="354"/>
      <c r="W837" s="354"/>
      <c r="X837" s="354"/>
      <c r="Y837" s="354"/>
      <c r="Z837" s="354"/>
      <c r="AA837" s="354"/>
      <c r="AB837" s="354"/>
      <c r="AC837" s="354"/>
      <c r="AD837" s="354"/>
      <c r="AE837" s="354"/>
      <c r="AF837" s="354"/>
      <c r="AG837" s="354"/>
      <c r="AH837" s="354"/>
      <c r="AI837" s="354"/>
      <c r="AJ837" s="354"/>
      <c r="AK837" s="354"/>
      <c r="AL837" s="354"/>
      <c r="AM837" s="354"/>
      <c r="AN837" s="354"/>
      <c r="AO837" s="354"/>
      <c r="AP837" s="354"/>
      <c r="AQ837" s="354"/>
      <c r="AR837" s="354"/>
      <c r="AS837" s="354"/>
      <c r="AT837" s="354"/>
      <c r="AU837" s="354"/>
      <c r="AV837" s="354"/>
      <c r="AW837" s="354"/>
    </row>
    <row r="838" spans="1:49">
      <c r="A838" s="354"/>
      <c r="B838" s="354"/>
      <c r="C838" s="354"/>
      <c r="D838" s="354"/>
      <c r="E838" s="354"/>
      <c r="F838" s="354"/>
      <c r="G838" s="354"/>
      <c r="H838" s="354"/>
      <c r="I838" s="354"/>
      <c r="J838" s="354"/>
      <c r="K838" s="354"/>
      <c r="L838" s="354"/>
      <c r="M838" s="354"/>
      <c r="N838" s="354"/>
      <c r="O838" s="354"/>
      <c r="P838" s="354"/>
      <c r="Q838" s="354"/>
      <c r="R838" s="354"/>
      <c r="S838" s="354"/>
      <c r="T838" s="354"/>
      <c r="U838" s="354"/>
      <c r="V838" s="354"/>
      <c r="W838" s="354"/>
      <c r="X838" s="354"/>
      <c r="Y838" s="354"/>
      <c r="Z838" s="354"/>
      <c r="AA838" s="354"/>
      <c r="AB838" s="354"/>
      <c r="AC838" s="354"/>
      <c r="AD838" s="354"/>
      <c r="AE838" s="354"/>
      <c r="AF838" s="354"/>
      <c r="AG838" s="354"/>
      <c r="AH838" s="354"/>
      <c r="AI838" s="354"/>
      <c r="AJ838" s="354"/>
      <c r="AK838" s="354"/>
      <c r="AL838" s="354"/>
      <c r="AM838" s="354"/>
      <c r="AN838" s="354"/>
      <c r="AO838" s="354"/>
      <c r="AP838" s="354"/>
      <c r="AQ838" s="354"/>
      <c r="AR838" s="354"/>
      <c r="AS838" s="354"/>
      <c r="AT838" s="354"/>
      <c r="AU838" s="354"/>
      <c r="AV838" s="354"/>
      <c r="AW838" s="354"/>
    </row>
    <row r="839" spans="1:49">
      <c r="A839" s="354"/>
      <c r="B839" s="354"/>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Y839" s="354"/>
      <c r="Z839" s="354"/>
      <c r="AA839" s="354"/>
      <c r="AB839" s="354"/>
      <c r="AC839" s="354"/>
      <c r="AD839" s="354"/>
      <c r="AE839" s="354"/>
      <c r="AF839" s="354"/>
      <c r="AG839" s="354"/>
      <c r="AH839" s="354"/>
      <c r="AI839" s="354"/>
      <c r="AJ839" s="354"/>
      <c r="AK839" s="354"/>
      <c r="AL839" s="354"/>
      <c r="AM839" s="354"/>
      <c r="AN839" s="354"/>
      <c r="AO839" s="354"/>
      <c r="AP839" s="354"/>
      <c r="AQ839" s="354"/>
      <c r="AR839" s="354"/>
      <c r="AS839" s="354"/>
      <c r="AT839" s="354"/>
      <c r="AU839" s="354"/>
      <c r="AV839" s="354"/>
      <c r="AW839" s="354"/>
    </row>
    <row r="840" spans="1:49">
      <c r="A840" s="354"/>
      <c r="B840" s="354"/>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c r="AA840" s="354"/>
      <c r="AB840" s="354"/>
      <c r="AC840" s="354"/>
      <c r="AD840" s="354"/>
      <c r="AE840" s="354"/>
      <c r="AF840" s="354"/>
      <c r="AG840" s="354"/>
      <c r="AH840" s="354"/>
      <c r="AI840" s="354"/>
      <c r="AJ840" s="354"/>
      <c r="AK840" s="354"/>
      <c r="AL840" s="354"/>
      <c r="AM840" s="354"/>
      <c r="AN840" s="354"/>
      <c r="AO840" s="354"/>
      <c r="AP840" s="354"/>
      <c r="AQ840" s="354"/>
      <c r="AR840" s="354"/>
      <c r="AS840" s="354"/>
      <c r="AT840" s="354"/>
      <c r="AU840" s="354"/>
      <c r="AV840" s="354"/>
      <c r="AW840" s="354"/>
    </row>
    <row r="841" spans="1:49">
      <c r="A841" s="354"/>
      <c r="B841" s="354"/>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c r="AA841" s="354"/>
      <c r="AB841" s="354"/>
      <c r="AC841" s="354"/>
      <c r="AD841" s="354"/>
      <c r="AE841" s="354"/>
      <c r="AF841" s="354"/>
      <c r="AG841" s="354"/>
      <c r="AH841" s="354"/>
      <c r="AI841" s="354"/>
      <c r="AJ841" s="354"/>
      <c r="AK841" s="354"/>
      <c r="AL841" s="354"/>
      <c r="AM841" s="354"/>
      <c r="AN841" s="354"/>
      <c r="AO841" s="354"/>
      <c r="AP841" s="354"/>
      <c r="AQ841" s="354"/>
      <c r="AR841" s="354"/>
      <c r="AS841" s="354"/>
      <c r="AT841" s="354"/>
      <c r="AU841" s="354"/>
      <c r="AV841" s="354"/>
      <c r="AW841" s="354"/>
    </row>
    <row r="842" spans="1:49">
      <c r="A842" s="354"/>
      <c r="B842" s="354"/>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c r="AA842" s="354"/>
      <c r="AB842" s="354"/>
      <c r="AC842" s="354"/>
      <c r="AD842" s="354"/>
      <c r="AE842" s="354"/>
      <c r="AF842" s="354"/>
      <c r="AG842" s="354"/>
      <c r="AH842" s="354"/>
      <c r="AI842" s="354"/>
      <c r="AJ842" s="354"/>
      <c r="AK842" s="354"/>
      <c r="AL842" s="354"/>
      <c r="AM842" s="354"/>
      <c r="AN842" s="354"/>
      <c r="AO842" s="354"/>
      <c r="AP842" s="354"/>
      <c r="AQ842" s="354"/>
      <c r="AR842" s="354"/>
      <c r="AS842" s="354"/>
      <c r="AT842" s="354"/>
      <c r="AU842" s="354"/>
      <c r="AV842" s="354"/>
      <c r="AW842" s="354"/>
    </row>
    <row r="843" spans="1:49">
      <c r="A843" s="354"/>
      <c r="B843" s="354"/>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c r="AA843" s="354"/>
      <c r="AB843" s="354"/>
      <c r="AC843" s="354"/>
      <c r="AD843" s="354"/>
      <c r="AE843" s="354"/>
      <c r="AF843" s="354"/>
      <c r="AG843" s="354"/>
      <c r="AH843" s="354"/>
      <c r="AI843" s="354"/>
      <c r="AJ843" s="354"/>
      <c r="AK843" s="354"/>
      <c r="AL843" s="354"/>
      <c r="AM843" s="354"/>
      <c r="AN843" s="354"/>
      <c r="AO843" s="354"/>
      <c r="AP843" s="354"/>
      <c r="AQ843" s="354"/>
      <c r="AR843" s="354"/>
      <c r="AS843" s="354"/>
      <c r="AT843" s="354"/>
      <c r="AU843" s="354"/>
      <c r="AV843" s="354"/>
      <c r="AW843" s="354"/>
    </row>
    <row r="844" spans="1:49">
      <c r="A844" s="354"/>
      <c r="B844" s="354"/>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c r="AA844" s="354"/>
      <c r="AB844" s="354"/>
      <c r="AC844" s="354"/>
      <c r="AD844" s="354"/>
      <c r="AE844" s="354"/>
      <c r="AF844" s="354"/>
      <c r="AG844" s="354"/>
      <c r="AH844" s="354"/>
      <c r="AI844" s="354"/>
      <c r="AJ844" s="354"/>
      <c r="AK844" s="354"/>
      <c r="AL844" s="354"/>
      <c r="AM844" s="354"/>
      <c r="AN844" s="354"/>
      <c r="AO844" s="354"/>
      <c r="AP844" s="354"/>
      <c r="AQ844" s="354"/>
      <c r="AR844" s="354"/>
      <c r="AS844" s="354"/>
      <c r="AT844" s="354"/>
      <c r="AU844" s="354"/>
      <c r="AV844" s="354"/>
      <c r="AW844" s="354"/>
    </row>
    <row r="845" spans="1:49">
      <c r="A845" s="354"/>
      <c r="B845" s="354"/>
      <c r="C845" s="354"/>
      <c r="D845" s="354"/>
      <c r="E845" s="354"/>
      <c r="F845" s="354"/>
      <c r="G845" s="354"/>
      <c r="H845" s="354"/>
      <c r="I845" s="354"/>
      <c r="J845" s="354"/>
      <c r="K845" s="354"/>
      <c r="L845" s="354"/>
      <c r="M845" s="354"/>
      <c r="N845" s="354"/>
      <c r="O845" s="354"/>
      <c r="P845" s="354"/>
      <c r="Q845" s="354"/>
      <c r="R845" s="354"/>
      <c r="S845" s="354"/>
      <c r="T845" s="354"/>
      <c r="U845" s="354"/>
      <c r="V845" s="354"/>
      <c r="W845" s="354"/>
      <c r="X845" s="354"/>
      <c r="Y845" s="354"/>
      <c r="Z845" s="354"/>
      <c r="AA845" s="354"/>
      <c r="AB845" s="354"/>
      <c r="AC845" s="354"/>
      <c r="AD845" s="354"/>
      <c r="AE845" s="354"/>
      <c r="AF845" s="354"/>
      <c r="AG845" s="354"/>
      <c r="AH845" s="354"/>
      <c r="AI845" s="354"/>
      <c r="AJ845" s="354"/>
      <c r="AK845" s="354"/>
      <c r="AL845" s="354"/>
      <c r="AM845" s="354"/>
      <c r="AN845" s="354"/>
      <c r="AO845" s="354"/>
      <c r="AP845" s="354"/>
      <c r="AQ845" s="354"/>
      <c r="AR845" s="354"/>
      <c r="AS845" s="354"/>
      <c r="AT845" s="354"/>
      <c r="AU845" s="354"/>
      <c r="AV845" s="354"/>
      <c r="AW845" s="354"/>
    </row>
    <row r="846" spans="1:49">
      <c r="A846" s="354"/>
      <c r="B846" s="354"/>
      <c r="C846" s="354"/>
      <c r="D846" s="354"/>
      <c r="E846" s="354"/>
      <c r="F846" s="354"/>
      <c r="G846" s="354"/>
      <c r="H846" s="354"/>
      <c r="I846" s="354"/>
      <c r="J846" s="354"/>
      <c r="K846" s="354"/>
      <c r="L846" s="354"/>
      <c r="M846" s="354"/>
      <c r="N846" s="354"/>
      <c r="O846" s="354"/>
      <c r="P846" s="354"/>
      <c r="Q846" s="354"/>
      <c r="R846" s="354"/>
      <c r="S846" s="354"/>
      <c r="T846" s="354"/>
      <c r="U846" s="354"/>
      <c r="V846" s="354"/>
      <c r="W846" s="354"/>
      <c r="X846" s="354"/>
      <c r="Y846" s="354"/>
      <c r="Z846" s="354"/>
      <c r="AA846" s="354"/>
      <c r="AB846" s="354"/>
      <c r="AC846" s="354"/>
      <c r="AD846" s="354"/>
      <c r="AE846" s="354"/>
      <c r="AF846" s="354"/>
      <c r="AG846" s="354"/>
      <c r="AH846" s="354"/>
      <c r="AI846" s="354"/>
      <c r="AJ846" s="354"/>
      <c r="AK846" s="354"/>
      <c r="AL846" s="354"/>
      <c r="AM846" s="354"/>
      <c r="AN846" s="354"/>
      <c r="AO846" s="354"/>
      <c r="AP846" s="354"/>
      <c r="AQ846" s="354"/>
      <c r="AR846" s="354"/>
      <c r="AS846" s="354"/>
      <c r="AT846" s="354"/>
      <c r="AU846" s="354"/>
      <c r="AV846" s="354"/>
      <c r="AW846" s="354"/>
    </row>
    <row r="847" spans="1:49">
      <c r="A847" s="354"/>
      <c r="B847" s="354"/>
      <c r="C847" s="354"/>
      <c r="D847" s="354"/>
      <c r="E847" s="354"/>
      <c r="F847" s="354"/>
      <c r="G847" s="354"/>
      <c r="H847" s="354"/>
      <c r="I847" s="354"/>
      <c r="J847" s="354"/>
      <c r="K847" s="354"/>
      <c r="L847" s="354"/>
      <c r="M847" s="354"/>
      <c r="N847" s="354"/>
      <c r="O847" s="354"/>
      <c r="P847" s="354"/>
      <c r="Q847" s="354"/>
      <c r="R847" s="354"/>
      <c r="S847" s="354"/>
      <c r="T847" s="354"/>
      <c r="U847" s="354"/>
      <c r="V847" s="354"/>
      <c r="W847" s="354"/>
      <c r="X847" s="354"/>
      <c r="Y847" s="354"/>
      <c r="Z847" s="354"/>
      <c r="AA847" s="354"/>
      <c r="AB847" s="354"/>
      <c r="AC847" s="354"/>
      <c r="AD847" s="354"/>
      <c r="AE847" s="354"/>
      <c r="AF847" s="354"/>
      <c r="AG847" s="354"/>
      <c r="AH847" s="354"/>
      <c r="AI847" s="354"/>
      <c r="AJ847" s="354"/>
      <c r="AK847" s="354"/>
      <c r="AL847" s="354"/>
      <c r="AM847" s="354"/>
      <c r="AN847" s="354"/>
      <c r="AO847" s="354"/>
      <c r="AP847" s="354"/>
      <c r="AQ847" s="354"/>
      <c r="AR847" s="354"/>
      <c r="AS847" s="354"/>
      <c r="AT847" s="354"/>
      <c r="AU847" s="354"/>
      <c r="AV847" s="354"/>
      <c r="AW847" s="354"/>
    </row>
    <row r="848" spans="1:49">
      <c r="A848" s="354"/>
      <c r="B848" s="354"/>
      <c r="C848" s="354"/>
      <c r="D848" s="354"/>
      <c r="E848" s="354"/>
      <c r="F848" s="354"/>
      <c r="G848" s="354"/>
      <c r="H848" s="354"/>
      <c r="I848" s="354"/>
      <c r="J848" s="354"/>
      <c r="K848" s="354"/>
      <c r="L848" s="354"/>
      <c r="M848" s="354"/>
      <c r="N848" s="354"/>
      <c r="O848" s="354"/>
      <c r="P848" s="354"/>
      <c r="Q848" s="354"/>
      <c r="R848" s="354"/>
      <c r="S848" s="354"/>
      <c r="T848" s="354"/>
      <c r="U848" s="354"/>
      <c r="V848" s="354"/>
      <c r="W848" s="354"/>
      <c r="X848" s="354"/>
      <c r="Y848" s="354"/>
      <c r="Z848" s="354"/>
      <c r="AA848" s="354"/>
      <c r="AB848" s="354"/>
      <c r="AC848" s="354"/>
      <c r="AD848" s="354"/>
      <c r="AE848" s="354"/>
      <c r="AF848" s="354"/>
      <c r="AG848" s="354"/>
      <c r="AH848" s="354"/>
      <c r="AI848" s="354"/>
      <c r="AJ848" s="354"/>
      <c r="AK848" s="354"/>
      <c r="AL848" s="354"/>
      <c r="AM848" s="354"/>
      <c r="AN848" s="354"/>
      <c r="AO848" s="354"/>
      <c r="AP848" s="354"/>
      <c r="AQ848" s="354"/>
      <c r="AR848" s="354"/>
      <c r="AS848" s="354"/>
      <c r="AT848" s="354"/>
      <c r="AU848" s="354"/>
      <c r="AV848" s="354"/>
      <c r="AW848" s="354"/>
    </row>
    <row r="849" spans="1:49">
      <c r="A849" s="354"/>
      <c r="B849" s="354"/>
      <c r="C849" s="354"/>
      <c r="D849" s="354"/>
      <c r="E849" s="354"/>
      <c r="F849" s="354"/>
      <c r="G849" s="354"/>
      <c r="H849" s="354"/>
      <c r="I849" s="354"/>
      <c r="J849" s="354"/>
      <c r="K849" s="354"/>
      <c r="L849" s="354"/>
      <c r="M849" s="354"/>
      <c r="N849" s="354"/>
      <c r="O849" s="354"/>
      <c r="P849" s="354"/>
      <c r="Q849" s="354"/>
      <c r="R849" s="354"/>
      <c r="S849" s="354"/>
      <c r="T849" s="354"/>
      <c r="U849" s="354"/>
      <c r="V849" s="354"/>
      <c r="W849" s="354"/>
      <c r="X849" s="354"/>
      <c r="Y849" s="354"/>
      <c r="Z849" s="354"/>
      <c r="AA849" s="354"/>
      <c r="AB849" s="354"/>
      <c r="AC849" s="354"/>
      <c r="AD849" s="354"/>
      <c r="AE849" s="354"/>
      <c r="AF849" s="354"/>
      <c r="AG849" s="354"/>
      <c r="AH849" s="354"/>
      <c r="AI849" s="354"/>
      <c r="AJ849" s="354"/>
      <c r="AK849" s="354"/>
      <c r="AL849" s="354"/>
      <c r="AM849" s="354"/>
      <c r="AN849" s="354"/>
      <c r="AO849" s="354"/>
      <c r="AP849" s="354"/>
      <c r="AQ849" s="354"/>
      <c r="AR849" s="354"/>
      <c r="AS849" s="354"/>
      <c r="AT849" s="354"/>
      <c r="AU849" s="354"/>
      <c r="AV849" s="354"/>
      <c r="AW849" s="354"/>
    </row>
    <row r="850" spans="1:49">
      <c r="A850" s="354"/>
      <c r="B850" s="354"/>
      <c r="C850" s="354"/>
      <c r="D850" s="354"/>
      <c r="E850" s="354"/>
      <c r="F850" s="354"/>
      <c r="G850" s="354"/>
      <c r="H850" s="354"/>
      <c r="I850" s="354"/>
      <c r="J850" s="354"/>
      <c r="K850" s="354"/>
      <c r="L850" s="354"/>
      <c r="M850" s="354"/>
      <c r="N850" s="354"/>
      <c r="O850" s="354"/>
      <c r="P850" s="354"/>
      <c r="Q850" s="354"/>
      <c r="R850" s="354"/>
      <c r="S850" s="354"/>
      <c r="T850" s="354"/>
      <c r="U850" s="354"/>
      <c r="V850" s="354"/>
      <c r="W850" s="354"/>
      <c r="X850" s="354"/>
      <c r="Y850" s="354"/>
      <c r="Z850" s="354"/>
      <c r="AA850" s="354"/>
      <c r="AB850" s="354"/>
      <c r="AC850" s="354"/>
      <c r="AD850" s="354"/>
      <c r="AE850" s="354"/>
      <c r="AF850" s="354"/>
      <c r="AG850" s="354"/>
      <c r="AH850" s="354"/>
      <c r="AI850" s="354"/>
      <c r="AJ850" s="354"/>
      <c r="AK850" s="354"/>
      <c r="AL850" s="354"/>
      <c r="AM850" s="354"/>
      <c r="AN850" s="354"/>
      <c r="AO850" s="354"/>
      <c r="AP850" s="354"/>
      <c r="AQ850" s="354"/>
      <c r="AR850" s="354"/>
      <c r="AS850" s="354"/>
      <c r="AT850" s="354"/>
      <c r="AU850" s="354"/>
      <c r="AV850" s="354"/>
      <c r="AW850" s="354"/>
    </row>
    <row r="851" spans="1:49">
      <c r="A851" s="354"/>
      <c r="B851" s="354"/>
      <c r="C851" s="354"/>
      <c r="D851" s="354"/>
      <c r="E851" s="354"/>
      <c r="F851" s="354"/>
      <c r="G851" s="354"/>
      <c r="H851" s="354"/>
      <c r="I851" s="354"/>
      <c r="J851" s="354"/>
      <c r="K851" s="354"/>
      <c r="L851" s="354"/>
      <c r="M851" s="354"/>
      <c r="N851" s="354"/>
      <c r="O851" s="354"/>
      <c r="P851" s="354"/>
      <c r="Q851" s="354"/>
      <c r="R851" s="354"/>
      <c r="S851" s="354"/>
      <c r="T851" s="354"/>
      <c r="U851" s="354"/>
      <c r="V851" s="354"/>
      <c r="W851" s="354"/>
      <c r="X851" s="354"/>
      <c r="Y851" s="354"/>
      <c r="Z851" s="354"/>
      <c r="AA851" s="354"/>
      <c r="AB851" s="354"/>
      <c r="AC851" s="354"/>
      <c r="AD851" s="354"/>
      <c r="AE851" s="354"/>
      <c r="AF851" s="354"/>
      <c r="AG851" s="354"/>
      <c r="AH851" s="354"/>
      <c r="AI851" s="354"/>
      <c r="AJ851" s="354"/>
      <c r="AK851" s="354"/>
      <c r="AL851" s="354"/>
      <c r="AM851" s="354"/>
      <c r="AN851" s="354"/>
      <c r="AO851" s="354"/>
      <c r="AP851" s="354"/>
      <c r="AQ851" s="354"/>
      <c r="AR851" s="354"/>
      <c r="AS851" s="354"/>
      <c r="AT851" s="354"/>
      <c r="AU851" s="354"/>
      <c r="AV851" s="354"/>
      <c r="AW851" s="354"/>
    </row>
    <row r="852" spans="1:49">
      <c r="A852" s="354"/>
      <c r="B852" s="354"/>
      <c r="C852" s="354"/>
      <c r="D852" s="354"/>
      <c r="E852" s="354"/>
      <c r="F852" s="354"/>
      <c r="G852" s="354"/>
      <c r="H852" s="354"/>
      <c r="I852" s="354"/>
      <c r="J852" s="354"/>
      <c r="K852" s="354"/>
      <c r="L852" s="354"/>
      <c r="M852" s="354"/>
      <c r="N852" s="354"/>
      <c r="O852" s="354"/>
      <c r="P852" s="354"/>
      <c r="Q852" s="354"/>
      <c r="R852" s="354"/>
      <c r="S852" s="354"/>
      <c r="T852" s="354"/>
      <c r="U852" s="354"/>
      <c r="V852" s="354"/>
      <c r="W852" s="354"/>
      <c r="X852" s="354"/>
      <c r="Y852" s="354"/>
      <c r="Z852" s="354"/>
      <c r="AA852" s="354"/>
      <c r="AB852" s="354"/>
      <c r="AC852" s="354"/>
      <c r="AD852" s="354"/>
      <c r="AE852" s="354"/>
      <c r="AF852" s="354"/>
      <c r="AG852" s="354"/>
      <c r="AH852" s="354"/>
      <c r="AI852" s="354"/>
      <c r="AJ852" s="354"/>
      <c r="AK852" s="354"/>
      <c r="AL852" s="354"/>
      <c r="AM852" s="354"/>
      <c r="AN852" s="354"/>
      <c r="AO852" s="354"/>
      <c r="AP852" s="354"/>
      <c r="AQ852" s="354"/>
      <c r="AR852" s="354"/>
      <c r="AS852" s="354"/>
      <c r="AT852" s="354"/>
      <c r="AU852" s="354"/>
      <c r="AV852" s="354"/>
      <c r="AW852" s="354"/>
    </row>
    <row r="853" spans="1:49">
      <c r="A853" s="354"/>
      <c r="B853" s="354"/>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c r="AA853" s="354"/>
      <c r="AB853" s="354"/>
      <c r="AC853" s="354"/>
      <c r="AD853" s="354"/>
      <c r="AE853" s="354"/>
      <c r="AF853" s="354"/>
      <c r="AG853" s="354"/>
      <c r="AH853" s="354"/>
      <c r="AI853" s="354"/>
      <c r="AJ853" s="354"/>
      <c r="AK853" s="354"/>
      <c r="AL853" s="354"/>
      <c r="AM853" s="354"/>
      <c r="AN853" s="354"/>
      <c r="AO853" s="354"/>
      <c r="AP853" s="354"/>
      <c r="AQ853" s="354"/>
      <c r="AR853" s="354"/>
      <c r="AS853" s="354"/>
      <c r="AT853" s="354"/>
      <c r="AU853" s="354"/>
      <c r="AV853" s="354"/>
      <c r="AW853" s="354"/>
    </row>
    <row r="854" spans="1:49">
      <c r="A854" s="354"/>
      <c r="B854" s="354"/>
      <c r="C854" s="354"/>
      <c r="D854" s="354"/>
      <c r="E854" s="354"/>
      <c r="F854" s="354"/>
      <c r="G854" s="354"/>
      <c r="H854" s="354"/>
      <c r="I854" s="354"/>
      <c r="J854" s="354"/>
      <c r="K854" s="354"/>
      <c r="L854" s="354"/>
      <c r="M854" s="354"/>
      <c r="N854" s="354"/>
      <c r="O854" s="354"/>
      <c r="P854" s="354"/>
      <c r="Q854" s="354"/>
      <c r="R854" s="354"/>
      <c r="S854" s="354"/>
      <c r="T854" s="354"/>
      <c r="U854" s="354"/>
      <c r="V854" s="354"/>
      <c r="W854" s="354"/>
      <c r="X854" s="354"/>
      <c r="Y854" s="354"/>
      <c r="Z854" s="354"/>
      <c r="AA854" s="354"/>
      <c r="AB854" s="354"/>
      <c r="AC854" s="354"/>
      <c r="AD854" s="354"/>
      <c r="AE854" s="354"/>
      <c r="AF854" s="354"/>
      <c r="AG854" s="354"/>
      <c r="AH854" s="354"/>
      <c r="AI854" s="354"/>
      <c r="AJ854" s="354"/>
      <c r="AK854" s="354"/>
      <c r="AL854" s="354"/>
      <c r="AM854" s="354"/>
      <c r="AN854" s="354"/>
      <c r="AO854" s="354"/>
      <c r="AP854" s="354"/>
      <c r="AQ854" s="354"/>
      <c r="AR854" s="354"/>
      <c r="AS854" s="354"/>
      <c r="AT854" s="354"/>
      <c r="AU854" s="354"/>
      <c r="AV854" s="354"/>
      <c r="AW854" s="354"/>
    </row>
    <row r="855" spans="1:49">
      <c r="A855" s="354"/>
      <c r="B855" s="354"/>
      <c r="C855" s="354"/>
      <c r="D855" s="354"/>
      <c r="E855" s="354"/>
      <c r="F855" s="354"/>
      <c r="G855" s="354"/>
      <c r="H855" s="354"/>
      <c r="I855" s="354"/>
      <c r="J855" s="354"/>
      <c r="K855" s="354"/>
      <c r="L855" s="354"/>
      <c r="M855" s="354"/>
      <c r="N855" s="354"/>
      <c r="O855" s="354"/>
      <c r="P855" s="354"/>
      <c r="Q855" s="354"/>
      <c r="R855" s="354"/>
      <c r="S855" s="354"/>
      <c r="T855" s="354"/>
      <c r="U855" s="354"/>
      <c r="V855" s="354"/>
      <c r="W855" s="354"/>
      <c r="X855" s="354"/>
      <c r="Y855" s="354"/>
      <c r="Z855" s="354"/>
      <c r="AA855" s="354"/>
      <c r="AB855" s="354"/>
      <c r="AC855" s="354"/>
      <c r="AD855" s="354"/>
      <c r="AE855" s="354"/>
      <c r="AF855" s="354"/>
      <c r="AG855" s="354"/>
      <c r="AH855" s="354"/>
      <c r="AI855" s="354"/>
      <c r="AJ855" s="354"/>
      <c r="AK855" s="354"/>
      <c r="AL855" s="354"/>
      <c r="AM855" s="354"/>
      <c r="AN855" s="354"/>
      <c r="AO855" s="354"/>
      <c r="AP855" s="354"/>
      <c r="AQ855" s="354"/>
      <c r="AR855" s="354"/>
      <c r="AS855" s="354"/>
      <c r="AT855" s="354"/>
      <c r="AU855" s="354"/>
      <c r="AV855" s="354"/>
      <c r="AW855" s="354"/>
    </row>
    <row r="856" spans="1:49">
      <c r="A856" s="354"/>
      <c r="B856" s="354"/>
      <c r="C856" s="354"/>
      <c r="D856" s="354"/>
      <c r="E856" s="354"/>
      <c r="F856" s="354"/>
      <c r="G856" s="354"/>
      <c r="H856" s="354"/>
      <c r="I856" s="354"/>
      <c r="J856" s="354"/>
      <c r="K856" s="354"/>
      <c r="L856" s="354"/>
      <c r="M856" s="354"/>
      <c r="N856" s="354"/>
      <c r="O856" s="354"/>
      <c r="P856" s="354"/>
      <c r="Q856" s="354"/>
      <c r="R856" s="354"/>
      <c r="S856" s="354"/>
      <c r="T856" s="354"/>
      <c r="U856" s="354"/>
      <c r="V856" s="354"/>
      <c r="W856" s="354"/>
      <c r="X856" s="354"/>
      <c r="Y856" s="354"/>
      <c r="Z856" s="354"/>
      <c r="AA856" s="354"/>
      <c r="AB856" s="354"/>
      <c r="AC856" s="354"/>
      <c r="AD856" s="354"/>
      <c r="AE856" s="354"/>
      <c r="AF856" s="354"/>
      <c r="AG856" s="354"/>
      <c r="AH856" s="354"/>
      <c r="AI856" s="354"/>
      <c r="AJ856" s="354"/>
      <c r="AK856" s="354"/>
      <c r="AL856" s="354"/>
      <c r="AM856" s="354"/>
      <c r="AN856" s="354"/>
      <c r="AO856" s="354"/>
      <c r="AP856" s="354"/>
      <c r="AQ856" s="354"/>
      <c r="AR856" s="354"/>
      <c r="AS856" s="354"/>
      <c r="AT856" s="354"/>
      <c r="AU856" s="354"/>
      <c r="AV856" s="354"/>
      <c r="AW856" s="354"/>
    </row>
    <row r="857" spans="1:49">
      <c r="A857" s="354"/>
      <c r="B857" s="354"/>
      <c r="C857" s="354"/>
      <c r="D857" s="354"/>
      <c r="E857" s="354"/>
      <c r="F857" s="354"/>
      <c r="G857" s="354"/>
      <c r="H857" s="354"/>
      <c r="I857" s="354"/>
      <c r="J857" s="354"/>
      <c r="K857" s="354"/>
      <c r="L857" s="354"/>
      <c r="M857" s="354"/>
      <c r="N857" s="354"/>
      <c r="O857" s="354"/>
      <c r="P857" s="354"/>
      <c r="Q857" s="354"/>
      <c r="R857" s="354"/>
      <c r="S857" s="354"/>
      <c r="T857" s="354"/>
      <c r="U857" s="354"/>
      <c r="V857" s="354"/>
      <c r="W857" s="354"/>
      <c r="X857" s="354"/>
      <c r="Y857" s="354"/>
      <c r="Z857" s="354"/>
      <c r="AA857" s="354"/>
      <c r="AB857" s="354"/>
      <c r="AC857" s="354"/>
      <c r="AD857" s="354"/>
      <c r="AE857" s="354"/>
      <c r="AF857" s="354"/>
      <c r="AG857" s="354"/>
      <c r="AH857" s="354"/>
      <c r="AI857" s="354"/>
      <c r="AJ857" s="354"/>
      <c r="AK857" s="354"/>
      <c r="AL857" s="354"/>
      <c r="AM857" s="354"/>
      <c r="AN857" s="354"/>
      <c r="AO857" s="354"/>
      <c r="AP857" s="354"/>
      <c r="AQ857" s="354"/>
      <c r="AR857" s="354"/>
      <c r="AS857" s="354"/>
      <c r="AT857" s="354"/>
      <c r="AU857" s="354"/>
      <c r="AV857" s="354"/>
      <c r="AW857" s="354"/>
    </row>
    <row r="858" spans="1:49">
      <c r="A858" s="354"/>
      <c r="B858" s="354"/>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c r="AA858" s="354"/>
      <c r="AB858" s="354"/>
      <c r="AC858" s="354"/>
      <c r="AD858" s="354"/>
      <c r="AE858" s="354"/>
      <c r="AF858" s="354"/>
      <c r="AG858" s="354"/>
      <c r="AH858" s="354"/>
      <c r="AI858" s="354"/>
      <c r="AJ858" s="354"/>
      <c r="AK858" s="354"/>
      <c r="AL858" s="354"/>
      <c r="AM858" s="354"/>
      <c r="AN858" s="354"/>
      <c r="AO858" s="354"/>
      <c r="AP858" s="354"/>
      <c r="AQ858" s="354"/>
      <c r="AR858" s="354"/>
      <c r="AS858" s="354"/>
      <c r="AT858" s="354"/>
      <c r="AU858" s="354"/>
      <c r="AV858" s="354"/>
      <c r="AW858" s="354"/>
    </row>
    <row r="859" spans="1:49">
      <c r="A859" s="354"/>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c r="AA859" s="354"/>
      <c r="AB859" s="354"/>
      <c r="AC859" s="354"/>
      <c r="AD859" s="354"/>
      <c r="AE859" s="354"/>
      <c r="AF859" s="354"/>
      <c r="AG859" s="354"/>
      <c r="AH859" s="354"/>
      <c r="AI859" s="354"/>
      <c r="AJ859" s="354"/>
      <c r="AK859" s="354"/>
      <c r="AL859" s="354"/>
      <c r="AM859" s="354"/>
      <c r="AN859" s="354"/>
      <c r="AO859" s="354"/>
      <c r="AP859" s="354"/>
      <c r="AQ859" s="354"/>
      <c r="AR859" s="354"/>
      <c r="AS859" s="354"/>
      <c r="AT859" s="354"/>
      <c r="AU859" s="354"/>
      <c r="AV859" s="354"/>
      <c r="AW859" s="354"/>
    </row>
    <row r="860" spans="1:49">
      <c r="A860" s="354"/>
      <c r="B860" s="354"/>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c r="AA860" s="354"/>
      <c r="AB860" s="354"/>
      <c r="AC860" s="354"/>
      <c r="AD860" s="354"/>
      <c r="AE860" s="354"/>
      <c r="AF860" s="354"/>
      <c r="AG860" s="354"/>
      <c r="AH860" s="354"/>
      <c r="AI860" s="354"/>
      <c r="AJ860" s="354"/>
      <c r="AK860" s="354"/>
      <c r="AL860" s="354"/>
      <c r="AM860" s="354"/>
      <c r="AN860" s="354"/>
      <c r="AO860" s="354"/>
      <c r="AP860" s="354"/>
      <c r="AQ860" s="354"/>
      <c r="AR860" s="354"/>
      <c r="AS860" s="354"/>
      <c r="AT860" s="354"/>
      <c r="AU860" s="354"/>
      <c r="AV860" s="354"/>
      <c r="AW860" s="354"/>
    </row>
    <row r="861" spans="1:49">
      <c r="A861" s="354"/>
      <c r="B861" s="354"/>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c r="AA861" s="354"/>
      <c r="AB861" s="354"/>
      <c r="AC861" s="354"/>
      <c r="AD861" s="354"/>
      <c r="AE861" s="354"/>
      <c r="AF861" s="354"/>
      <c r="AG861" s="354"/>
      <c r="AH861" s="354"/>
      <c r="AI861" s="354"/>
      <c r="AJ861" s="354"/>
      <c r="AK861" s="354"/>
      <c r="AL861" s="354"/>
      <c r="AM861" s="354"/>
      <c r="AN861" s="354"/>
      <c r="AO861" s="354"/>
      <c r="AP861" s="354"/>
      <c r="AQ861" s="354"/>
      <c r="AR861" s="354"/>
      <c r="AS861" s="354"/>
      <c r="AT861" s="354"/>
      <c r="AU861" s="354"/>
      <c r="AV861" s="354"/>
      <c r="AW861" s="354"/>
    </row>
    <row r="862" spans="1:49">
      <c r="A862" s="354"/>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c r="AA862" s="354"/>
      <c r="AB862" s="354"/>
      <c r="AC862" s="354"/>
      <c r="AD862" s="354"/>
      <c r="AE862" s="354"/>
      <c r="AF862" s="354"/>
      <c r="AG862" s="354"/>
      <c r="AH862" s="354"/>
      <c r="AI862" s="354"/>
      <c r="AJ862" s="354"/>
      <c r="AK862" s="354"/>
      <c r="AL862" s="354"/>
      <c r="AM862" s="354"/>
      <c r="AN862" s="354"/>
      <c r="AO862" s="354"/>
      <c r="AP862" s="354"/>
      <c r="AQ862" s="354"/>
      <c r="AR862" s="354"/>
      <c r="AS862" s="354"/>
      <c r="AT862" s="354"/>
      <c r="AU862" s="354"/>
      <c r="AV862" s="354"/>
      <c r="AW862" s="354"/>
    </row>
    <row r="863" spans="1:49">
      <c r="A863" s="354"/>
      <c r="B863" s="354"/>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c r="AA863" s="354"/>
      <c r="AB863" s="354"/>
      <c r="AC863" s="354"/>
      <c r="AD863" s="354"/>
      <c r="AE863" s="354"/>
      <c r="AF863" s="354"/>
      <c r="AG863" s="354"/>
      <c r="AH863" s="354"/>
      <c r="AI863" s="354"/>
      <c r="AJ863" s="354"/>
      <c r="AK863" s="354"/>
      <c r="AL863" s="354"/>
      <c r="AM863" s="354"/>
      <c r="AN863" s="354"/>
      <c r="AO863" s="354"/>
      <c r="AP863" s="354"/>
      <c r="AQ863" s="354"/>
      <c r="AR863" s="354"/>
      <c r="AS863" s="354"/>
      <c r="AT863" s="354"/>
      <c r="AU863" s="354"/>
      <c r="AV863" s="354"/>
      <c r="AW863" s="354"/>
    </row>
    <row r="864" spans="1:49">
      <c r="A864" s="354"/>
      <c r="B864" s="354"/>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c r="AA864" s="354"/>
      <c r="AB864" s="354"/>
      <c r="AC864" s="354"/>
      <c r="AD864" s="354"/>
      <c r="AE864" s="354"/>
      <c r="AF864" s="354"/>
      <c r="AG864" s="354"/>
      <c r="AH864" s="354"/>
      <c r="AI864" s="354"/>
      <c r="AJ864" s="354"/>
      <c r="AK864" s="354"/>
      <c r="AL864" s="354"/>
      <c r="AM864" s="354"/>
      <c r="AN864" s="354"/>
      <c r="AO864" s="354"/>
      <c r="AP864" s="354"/>
      <c r="AQ864" s="354"/>
      <c r="AR864" s="354"/>
      <c r="AS864" s="354"/>
      <c r="AT864" s="354"/>
      <c r="AU864" s="354"/>
      <c r="AV864" s="354"/>
      <c r="AW864" s="354"/>
    </row>
    <row r="865" spans="1:49">
      <c r="A865" s="354"/>
      <c r="B865" s="354"/>
      <c r="C865" s="354"/>
      <c r="D865" s="354"/>
      <c r="E865" s="354"/>
      <c r="F865" s="354"/>
      <c r="G865" s="354"/>
      <c r="H865" s="354"/>
      <c r="I865" s="354"/>
      <c r="J865" s="354"/>
      <c r="K865" s="354"/>
      <c r="L865" s="354"/>
      <c r="M865" s="354"/>
      <c r="N865" s="354"/>
      <c r="O865" s="354"/>
      <c r="P865" s="354"/>
      <c r="Q865" s="354"/>
      <c r="R865" s="354"/>
      <c r="S865" s="354"/>
      <c r="T865" s="354"/>
      <c r="U865" s="354"/>
      <c r="V865" s="354"/>
      <c r="W865" s="354"/>
      <c r="X865" s="354"/>
      <c r="Y865" s="354"/>
      <c r="Z865" s="354"/>
      <c r="AA865" s="354"/>
      <c r="AB865" s="354"/>
      <c r="AC865" s="354"/>
      <c r="AD865" s="354"/>
      <c r="AE865" s="354"/>
      <c r="AF865" s="354"/>
      <c r="AG865" s="354"/>
      <c r="AH865" s="354"/>
      <c r="AI865" s="354"/>
      <c r="AJ865" s="354"/>
      <c r="AK865" s="354"/>
      <c r="AL865" s="354"/>
      <c r="AM865" s="354"/>
      <c r="AN865" s="354"/>
      <c r="AO865" s="354"/>
      <c r="AP865" s="354"/>
      <c r="AQ865" s="354"/>
      <c r="AR865" s="354"/>
      <c r="AS865" s="354"/>
      <c r="AT865" s="354"/>
      <c r="AU865" s="354"/>
      <c r="AV865" s="354"/>
      <c r="AW865" s="354"/>
    </row>
    <row r="866" spans="1:49">
      <c r="A866" s="354"/>
      <c r="B866" s="354"/>
      <c r="C866" s="354"/>
      <c r="D866" s="354"/>
      <c r="E866" s="354"/>
      <c r="F866" s="354"/>
      <c r="G866" s="354"/>
      <c r="H866" s="354"/>
      <c r="I866" s="354"/>
      <c r="J866" s="354"/>
      <c r="K866" s="354"/>
      <c r="L866" s="354"/>
      <c r="M866" s="354"/>
      <c r="N866" s="354"/>
      <c r="O866" s="354"/>
      <c r="P866" s="354"/>
      <c r="Q866" s="354"/>
      <c r="R866" s="354"/>
      <c r="S866" s="354"/>
      <c r="T866" s="354"/>
      <c r="U866" s="354"/>
      <c r="V866" s="354"/>
      <c r="W866" s="354"/>
      <c r="X866" s="354"/>
      <c r="Y866" s="354"/>
      <c r="Z866" s="354"/>
      <c r="AA866" s="354"/>
      <c r="AB866" s="354"/>
      <c r="AC866" s="354"/>
      <c r="AD866" s="354"/>
      <c r="AE866" s="354"/>
      <c r="AF866" s="354"/>
      <c r="AG866" s="354"/>
      <c r="AH866" s="354"/>
      <c r="AI866" s="354"/>
      <c r="AJ866" s="354"/>
      <c r="AK866" s="354"/>
      <c r="AL866" s="354"/>
      <c r="AM866" s="354"/>
      <c r="AN866" s="354"/>
      <c r="AO866" s="354"/>
      <c r="AP866" s="354"/>
      <c r="AQ866" s="354"/>
      <c r="AR866" s="354"/>
      <c r="AS866" s="354"/>
      <c r="AT866" s="354"/>
      <c r="AU866" s="354"/>
      <c r="AV866" s="354"/>
      <c r="AW866" s="354"/>
    </row>
    <row r="867" spans="1:49">
      <c r="A867" s="354"/>
      <c r="B867" s="354"/>
      <c r="C867" s="354"/>
      <c r="D867" s="354"/>
      <c r="E867" s="354"/>
      <c r="F867" s="354"/>
      <c r="G867" s="354"/>
      <c r="H867" s="354"/>
      <c r="I867" s="354"/>
      <c r="J867" s="354"/>
      <c r="K867" s="354"/>
      <c r="L867" s="354"/>
      <c r="M867" s="354"/>
      <c r="N867" s="354"/>
      <c r="O867" s="354"/>
      <c r="P867" s="354"/>
      <c r="Q867" s="354"/>
      <c r="R867" s="354"/>
      <c r="S867" s="354"/>
      <c r="T867" s="354"/>
      <c r="U867" s="354"/>
      <c r="V867" s="354"/>
      <c r="W867" s="354"/>
      <c r="X867" s="354"/>
      <c r="Y867" s="354"/>
      <c r="Z867" s="354"/>
      <c r="AA867" s="354"/>
      <c r="AB867" s="354"/>
      <c r="AC867" s="354"/>
      <c r="AD867" s="354"/>
      <c r="AE867" s="354"/>
      <c r="AF867" s="354"/>
      <c r="AG867" s="354"/>
      <c r="AH867" s="354"/>
      <c r="AI867" s="354"/>
      <c r="AJ867" s="354"/>
      <c r="AK867" s="354"/>
      <c r="AL867" s="354"/>
      <c r="AM867" s="354"/>
      <c r="AN867" s="354"/>
      <c r="AO867" s="354"/>
      <c r="AP867" s="354"/>
      <c r="AQ867" s="354"/>
      <c r="AR867" s="354"/>
      <c r="AS867" s="354"/>
      <c r="AT867" s="354"/>
      <c r="AU867" s="354"/>
      <c r="AV867" s="354"/>
      <c r="AW867" s="354"/>
    </row>
    <row r="868" spans="1:49">
      <c r="A868" s="354"/>
      <c r="B868" s="354"/>
      <c r="C868" s="354"/>
      <c r="D868" s="354"/>
      <c r="E868" s="354"/>
      <c r="F868" s="354"/>
      <c r="G868" s="354"/>
      <c r="H868" s="354"/>
      <c r="I868" s="354"/>
      <c r="J868" s="354"/>
      <c r="K868" s="354"/>
      <c r="L868" s="354"/>
      <c r="M868" s="354"/>
      <c r="N868" s="354"/>
      <c r="O868" s="354"/>
      <c r="P868" s="354"/>
      <c r="Q868" s="354"/>
      <c r="R868" s="354"/>
      <c r="S868" s="354"/>
      <c r="T868" s="354"/>
      <c r="U868" s="354"/>
      <c r="V868" s="354"/>
      <c r="W868" s="354"/>
      <c r="X868" s="354"/>
      <c r="Y868" s="354"/>
      <c r="Z868" s="354"/>
      <c r="AA868" s="354"/>
      <c r="AB868" s="354"/>
      <c r="AC868" s="354"/>
      <c r="AD868" s="354"/>
      <c r="AE868" s="354"/>
      <c r="AF868" s="354"/>
      <c r="AG868" s="354"/>
      <c r="AH868" s="354"/>
      <c r="AI868" s="354"/>
      <c r="AJ868" s="354"/>
      <c r="AK868" s="354"/>
      <c r="AL868" s="354"/>
      <c r="AM868" s="354"/>
      <c r="AN868" s="354"/>
      <c r="AO868" s="354"/>
      <c r="AP868" s="354"/>
      <c r="AQ868" s="354"/>
      <c r="AR868" s="354"/>
      <c r="AS868" s="354"/>
      <c r="AT868" s="354"/>
      <c r="AU868" s="354"/>
      <c r="AV868" s="354"/>
      <c r="AW868" s="354"/>
    </row>
    <row r="869" spans="1:49">
      <c r="A869" s="354"/>
      <c r="B869" s="354"/>
      <c r="C869" s="354"/>
      <c r="D869" s="354"/>
      <c r="E869" s="354"/>
      <c r="F869" s="354"/>
      <c r="G869" s="354"/>
      <c r="H869" s="354"/>
      <c r="I869" s="354"/>
      <c r="J869" s="354"/>
      <c r="K869" s="354"/>
      <c r="L869" s="354"/>
      <c r="M869" s="354"/>
      <c r="N869" s="354"/>
      <c r="O869" s="354"/>
      <c r="P869" s="354"/>
      <c r="Q869" s="354"/>
      <c r="R869" s="354"/>
      <c r="S869" s="354"/>
      <c r="T869" s="354"/>
      <c r="U869" s="354"/>
      <c r="V869" s="354"/>
      <c r="W869" s="354"/>
      <c r="X869" s="354"/>
      <c r="Y869" s="354"/>
      <c r="Z869" s="354"/>
      <c r="AA869" s="354"/>
      <c r="AB869" s="354"/>
      <c r="AC869" s="354"/>
      <c r="AD869" s="354"/>
      <c r="AE869" s="354"/>
      <c r="AF869" s="354"/>
      <c r="AG869" s="354"/>
      <c r="AH869" s="354"/>
      <c r="AI869" s="354"/>
      <c r="AJ869" s="354"/>
      <c r="AK869" s="354"/>
      <c r="AL869" s="354"/>
      <c r="AM869" s="354"/>
      <c r="AN869" s="354"/>
      <c r="AO869" s="354"/>
      <c r="AP869" s="354"/>
      <c r="AQ869" s="354"/>
      <c r="AR869" s="354"/>
      <c r="AS869" s="354"/>
      <c r="AT869" s="354"/>
      <c r="AU869" s="354"/>
      <c r="AV869" s="354"/>
      <c r="AW869" s="354"/>
    </row>
    <row r="870" spans="1:49">
      <c r="A870" s="354"/>
      <c r="B870" s="354"/>
      <c r="C870" s="354"/>
      <c r="D870" s="354"/>
      <c r="E870" s="354"/>
      <c r="F870" s="354"/>
      <c r="G870" s="354"/>
      <c r="H870" s="354"/>
      <c r="I870" s="354"/>
      <c r="J870" s="354"/>
      <c r="K870" s="354"/>
      <c r="L870" s="354"/>
      <c r="M870" s="354"/>
      <c r="N870" s="354"/>
      <c r="O870" s="354"/>
      <c r="P870" s="354"/>
      <c r="Q870" s="354"/>
      <c r="R870" s="354"/>
      <c r="S870" s="354"/>
      <c r="T870" s="354"/>
      <c r="U870" s="354"/>
      <c r="V870" s="354"/>
      <c r="W870" s="354"/>
      <c r="X870" s="354"/>
      <c r="Y870" s="354"/>
      <c r="Z870" s="354"/>
      <c r="AA870" s="354"/>
      <c r="AB870" s="354"/>
      <c r="AC870" s="354"/>
      <c r="AD870" s="354"/>
      <c r="AE870" s="354"/>
      <c r="AF870" s="354"/>
      <c r="AG870" s="354"/>
      <c r="AH870" s="354"/>
      <c r="AI870" s="354"/>
      <c r="AJ870" s="354"/>
      <c r="AK870" s="354"/>
      <c r="AL870" s="354"/>
      <c r="AM870" s="354"/>
      <c r="AN870" s="354"/>
      <c r="AO870" s="354"/>
      <c r="AP870" s="354"/>
      <c r="AQ870" s="354"/>
      <c r="AR870" s="354"/>
      <c r="AS870" s="354"/>
      <c r="AT870" s="354"/>
      <c r="AU870" s="354"/>
      <c r="AV870" s="354"/>
      <c r="AW870" s="354"/>
    </row>
    <row r="871" spans="1:49">
      <c r="A871" s="354"/>
      <c r="B871" s="354"/>
      <c r="C871" s="354"/>
      <c r="D871" s="354"/>
      <c r="E871" s="354"/>
      <c r="F871" s="354"/>
      <c r="G871" s="354"/>
      <c r="H871" s="354"/>
      <c r="I871" s="354"/>
      <c r="J871" s="354"/>
      <c r="K871" s="354"/>
      <c r="L871" s="354"/>
      <c r="M871" s="354"/>
      <c r="N871" s="354"/>
      <c r="O871" s="354"/>
      <c r="P871" s="354"/>
      <c r="Q871" s="354"/>
      <c r="R871" s="354"/>
      <c r="S871" s="354"/>
      <c r="T871" s="354"/>
      <c r="U871" s="354"/>
      <c r="V871" s="354"/>
      <c r="W871" s="354"/>
      <c r="X871" s="354"/>
      <c r="Y871" s="354"/>
      <c r="Z871" s="354"/>
      <c r="AA871" s="354"/>
      <c r="AB871" s="354"/>
      <c r="AC871" s="354"/>
      <c r="AD871" s="354"/>
      <c r="AE871" s="354"/>
      <c r="AF871" s="354"/>
      <c r="AG871" s="354"/>
      <c r="AH871" s="354"/>
      <c r="AI871" s="354"/>
      <c r="AJ871" s="354"/>
      <c r="AK871" s="354"/>
      <c r="AL871" s="354"/>
      <c r="AM871" s="354"/>
      <c r="AN871" s="354"/>
      <c r="AO871" s="354"/>
      <c r="AP871" s="354"/>
      <c r="AQ871" s="354"/>
      <c r="AR871" s="354"/>
      <c r="AS871" s="354"/>
      <c r="AT871" s="354"/>
      <c r="AU871" s="354"/>
      <c r="AV871" s="354"/>
      <c r="AW871" s="354"/>
    </row>
    <row r="872" spans="1:49">
      <c r="A872" s="354"/>
      <c r="B872" s="354"/>
      <c r="C872" s="354"/>
      <c r="D872" s="354"/>
      <c r="E872" s="354"/>
      <c r="F872" s="354"/>
      <c r="G872" s="354"/>
      <c r="H872" s="354"/>
      <c r="I872" s="354"/>
      <c r="J872" s="354"/>
      <c r="K872" s="354"/>
      <c r="L872" s="354"/>
      <c r="M872" s="354"/>
      <c r="N872" s="354"/>
      <c r="O872" s="354"/>
      <c r="P872" s="354"/>
      <c r="Q872" s="354"/>
      <c r="R872" s="354"/>
      <c r="S872" s="354"/>
      <c r="T872" s="354"/>
      <c r="U872" s="354"/>
      <c r="V872" s="354"/>
      <c r="W872" s="354"/>
      <c r="X872" s="354"/>
      <c r="Y872" s="354"/>
      <c r="Z872" s="354"/>
      <c r="AA872" s="354"/>
      <c r="AB872" s="354"/>
      <c r="AC872" s="354"/>
      <c r="AD872" s="354"/>
      <c r="AE872" s="354"/>
      <c r="AF872" s="354"/>
      <c r="AG872" s="354"/>
      <c r="AH872" s="354"/>
      <c r="AI872" s="354"/>
      <c r="AJ872" s="354"/>
      <c r="AK872" s="354"/>
      <c r="AL872" s="354"/>
      <c r="AM872" s="354"/>
      <c r="AN872" s="354"/>
      <c r="AO872" s="354"/>
      <c r="AP872" s="354"/>
      <c r="AQ872" s="354"/>
      <c r="AR872" s="354"/>
      <c r="AS872" s="354"/>
      <c r="AT872" s="354"/>
      <c r="AU872" s="354"/>
      <c r="AV872" s="354"/>
      <c r="AW872" s="354"/>
    </row>
    <row r="873" spans="1:49">
      <c r="A873" s="354"/>
      <c r="B873" s="354"/>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c r="AA873" s="354"/>
      <c r="AB873" s="354"/>
      <c r="AC873" s="354"/>
      <c r="AD873" s="354"/>
      <c r="AE873" s="354"/>
      <c r="AF873" s="354"/>
      <c r="AG873" s="354"/>
      <c r="AH873" s="354"/>
      <c r="AI873" s="354"/>
      <c r="AJ873" s="354"/>
      <c r="AK873" s="354"/>
      <c r="AL873" s="354"/>
      <c r="AM873" s="354"/>
      <c r="AN873" s="354"/>
      <c r="AO873" s="354"/>
      <c r="AP873" s="354"/>
      <c r="AQ873" s="354"/>
      <c r="AR873" s="354"/>
      <c r="AS873" s="354"/>
      <c r="AT873" s="354"/>
      <c r="AU873" s="354"/>
      <c r="AV873" s="354"/>
      <c r="AW873" s="354"/>
    </row>
    <row r="874" spans="1:49">
      <c r="A874" s="354"/>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c r="AA874" s="354"/>
      <c r="AB874" s="354"/>
      <c r="AC874" s="354"/>
      <c r="AD874" s="354"/>
      <c r="AE874" s="354"/>
      <c r="AF874" s="354"/>
      <c r="AG874" s="354"/>
      <c r="AH874" s="354"/>
      <c r="AI874" s="354"/>
      <c r="AJ874" s="354"/>
      <c r="AK874" s="354"/>
      <c r="AL874" s="354"/>
      <c r="AM874" s="354"/>
      <c r="AN874" s="354"/>
      <c r="AO874" s="354"/>
      <c r="AP874" s="354"/>
      <c r="AQ874" s="354"/>
      <c r="AR874" s="354"/>
      <c r="AS874" s="354"/>
      <c r="AT874" s="354"/>
      <c r="AU874" s="354"/>
      <c r="AV874" s="354"/>
      <c r="AW874" s="354"/>
    </row>
    <row r="875" spans="1:49">
      <c r="A875" s="354"/>
      <c r="B875" s="354"/>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54"/>
      <c r="AE875" s="354"/>
      <c r="AF875" s="354"/>
      <c r="AG875" s="354"/>
      <c r="AH875" s="354"/>
      <c r="AI875" s="354"/>
      <c r="AJ875" s="354"/>
      <c r="AK875" s="354"/>
      <c r="AL875" s="354"/>
      <c r="AM875" s="354"/>
      <c r="AN875" s="354"/>
      <c r="AO875" s="354"/>
      <c r="AP875" s="354"/>
      <c r="AQ875" s="354"/>
      <c r="AR875" s="354"/>
      <c r="AS875" s="354"/>
      <c r="AT875" s="354"/>
      <c r="AU875" s="354"/>
      <c r="AV875" s="354"/>
      <c r="AW875" s="354"/>
    </row>
    <row r="876" spans="1:49">
      <c r="A876" s="354"/>
      <c r="B876" s="354"/>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c r="AA876" s="354"/>
      <c r="AB876" s="354"/>
      <c r="AC876" s="354"/>
      <c r="AD876" s="354"/>
      <c r="AE876" s="354"/>
      <c r="AF876" s="354"/>
      <c r="AG876" s="354"/>
      <c r="AH876" s="354"/>
      <c r="AI876" s="354"/>
      <c r="AJ876" s="354"/>
      <c r="AK876" s="354"/>
      <c r="AL876" s="354"/>
      <c r="AM876" s="354"/>
      <c r="AN876" s="354"/>
      <c r="AO876" s="354"/>
      <c r="AP876" s="354"/>
      <c r="AQ876" s="354"/>
      <c r="AR876" s="354"/>
      <c r="AS876" s="354"/>
      <c r="AT876" s="354"/>
      <c r="AU876" s="354"/>
      <c r="AV876" s="354"/>
      <c r="AW876" s="354"/>
    </row>
    <row r="877" spans="1:49">
      <c r="A877" s="354"/>
      <c r="B877" s="354"/>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c r="AA877" s="354"/>
      <c r="AB877" s="354"/>
      <c r="AC877" s="354"/>
      <c r="AD877" s="354"/>
      <c r="AE877" s="354"/>
      <c r="AF877" s="354"/>
      <c r="AG877" s="354"/>
      <c r="AH877" s="354"/>
      <c r="AI877" s="354"/>
      <c r="AJ877" s="354"/>
      <c r="AK877" s="354"/>
      <c r="AL877" s="354"/>
      <c r="AM877" s="354"/>
      <c r="AN877" s="354"/>
      <c r="AO877" s="354"/>
      <c r="AP877" s="354"/>
      <c r="AQ877" s="354"/>
      <c r="AR877" s="354"/>
      <c r="AS877" s="354"/>
      <c r="AT877" s="354"/>
      <c r="AU877" s="354"/>
      <c r="AV877" s="354"/>
      <c r="AW877" s="354"/>
    </row>
    <row r="878" spans="1:49">
      <c r="A878" s="354"/>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c r="AA878" s="354"/>
      <c r="AB878" s="354"/>
      <c r="AC878" s="354"/>
      <c r="AD878" s="354"/>
      <c r="AE878" s="354"/>
      <c r="AF878" s="354"/>
      <c r="AG878" s="354"/>
      <c r="AH878" s="354"/>
      <c r="AI878" s="354"/>
      <c r="AJ878" s="354"/>
      <c r="AK878" s="354"/>
      <c r="AL878" s="354"/>
      <c r="AM878" s="354"/>
      <c r="AN878" s="354"/>
      <c r="AO878" s="354"/>
      <c r="AP878" s="354"/>
      <c r="AQ878" s="354"/>
      <c r="AR878" s="354"/>
      <c r="AS878" s="354"/>
      <c r="AT878" s="354"/>
      <c r="AU878" s="354"/>
      <c r="AV878" s="354"/>
      <c r="AW878" s="354"/>
    </row>
    <row r="879" spans="1:49">
      <c r="A879" s="354"/>
      <c r="B879" s="354"/>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c r="AA879" s="354"/>
      <c r="AB879" s="354"/>
      <c r="AC879" s="354"/>
      <c r="AD879" s="354"/>
      <c r="AE879" s="354"/>
      <c r="AF879" s="354"/>
      <c r="AG879" s="354"/>
      <c r="AH879" s="354"/>
      <c r="AI879" s="354"/>
      <c r="AJ879" s="354"/>
      <c r="AK879" s="354"/>
      <c r="AL879" s="354"/>
      <c r="AM879" s="354"/>
      <c r="AN879" s="354"/>
      <c r="AO879" s="354"/>
      <c r="AP879" s="354"/>
      <c r="AQ879" s="354"/>
      <c r="AR879" s="354"/>
      <c r="AS879" s="354"/>
      <c r="AT879" s="354"/>
      <c r="AU879" s="354"/>
      <c r="AV879" s="354"/>
      <c r="AW879" s="354"/>
    </row>
    <row r="880" spans="1:49">
      <c r="A880" s="354"/>
      <c r="B880" s="354"/>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c r="AA880" s="354"/>
      <c r="AB880" s="354"/>
      <c r="AC880" s="354"/>
      <c r="AD880" s="354"/>
      <c r="AE880" s="354"/>
      <c r="AF880" s="354"/>
      <c r="AG880" s="354"/>
      <c r="AH880" s="354"/>
      <c r="AI880" s="354"/>
      <c r="AJ880" s="354"/>
      <c r="AK880" s="354"/>
      <c r="AL880" s="354"/>
      <c r="AM880" s="354"/>
      <c r="AN880" s="354"/>
      <c r="AO880" s="354"/>
      <c r="AP880" s="354"/>
      <c r="AQ880" s="354"/>
      <c r="AR880" s="354"/>
      <c r="AS880" s="354"/>
      <c r="AT880" s="354"/>
      <c r="AU880" s="354"/>
      <c r="AV880" s="354"/>
      <c r="AW880" s="354"/>
    </row>
    <row r="881" spans="1:49">
      <c r="A881" s="354"/>
      <c r="B881" s="354"/>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c r="AA881" s="354"/>
      <c r="AB881" s="354"/>
      <c r="AC881" s="354"/>
      <c r="AD881" s="354"/>
      <c r="AE881" s="354"/>
      <c r="AF881" s="354"/>
      <c r="AG881" s="354"/>
      <c r="AH881" s="354"/>
      <c r="AI881" s="354"/>
      <c r="AJ881" s="354"/>
      <c r="AK881" s="354"/>
      <c r="AL881" s="354"/>
      <c r="AM881" s="354"/>
      <c r="AN881" s="354"/>
      <c r="AO881" s="354"/>
      <c r="AP881" s="354"/>
      <c r="AQ881" s="354"/>
      <c r="AR881" s="354"/>
      <c r="AS881" s="354"/>
      <c r="AT881" s="354"/>
      <c r="AU881" s="354"/>
      <c r="AV881" s="354"/>
      <c r="AW881" s="354"/>
    </row>
    <row r="882" spans="1:49">
      <c r="A882" s="354"/>
      <c r="B882" s="354"/>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c r="AA882" s="354"/>
      <c r="AB882" s="354"/>
      <c r="AC882" s="354"/>
      <c r="AD882" s="354"/>
      <c r="AE882" s="354"/>
      <c r="AF882" s="354"/>
      <c r="AG882" s="354"/>
      <c r="AH882" s="354"/>
      <c r="AI882" s="354"/>
      <c r="AJ882" s="354"/>
      <c r="AK882" s="354"/>
      <c r="AL882" s="354"/>
      <c r="AM882" s="354"/>
      <c r="AN882" s="354"/>
      <c r="AO882" s="354"/>
      <c r="AP882" s="354"/>
      <c r="AQ882" s="354"/>
      <c r="AR882" s="354"/>
      <c r="AS882" s="354"/>
      <c r="AT882" s="354"/>
      <c r="AU882" s="354"/>
      <c r="AV882" s="354"/>
      <c r="AW882" s="354"/>
    </row>
    <row r="883" spans="1:49">
      <c r="A883" s="354"/>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c r="AA883" s="354"/>
      <c r="AB883" s="354"/>
      <c r="AC883" s="354"/>
      <c r="AD883" s="354"/>
      <c r="AE883" s="354"/>
      <c r="AF883" s="354"/>
      <c r="AG883" s="354"/>
      <c r="AH883" s="354"/>
      <c r="AI883" s="354"/>
      <c r="AJ883" s="354"/>
      <c r="AK883" s="354"/>
      <c r="AL883" s="354"/>
      <c r="AM883" s="354"/>
      <c r="AN883" s="354"/>
      <c r="AO883" s="354"/>
      <c r="AP883" s="354"/>
      <c r="AQ883" s="354"/>
      <c r="AR883" s="354"/>
      <c r="AS883" s="354"/>
      <c r="AT883" s="354"/>
      <c r="AU883" s="354"/>
      <c r="AV883" s="354"/>
      <c r="AW883" s="354"/>
    </row>
    <row r="884" spans="1:49">
      <c r="A884" s="354"/>
      <c r="B884" s="354"/>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c r="AA884" s="354"/>
      <c r="AB884" s="354"/>
      <c r="AC884" s="354"/>
      <c r="AD884" s="354"/>
      <c r="AE884" s="354"/>
      <c r="AF884" s="354"/>
      <c r="AG884" s="354"/>
      <c r="AH884" s="354"/>
      <c r="AI884" s="354"/>
      <c r="AJ884" s="354"/>
      <c r="AK884" s="354"/>
      <c r="AL884" s="354"/>
      <c r="AM884" s="354"/>
      <c r="AN884" s="354"/>
      <c r="AO884" s="354"/>
      <c r="AP884" s="354"/>
      <c r="AQ884" s="354"/>
      <c r="AR884" s="354"/>
      <c r="AS884" s="354"/>
      <c r="AT884" s="354"/>
      <c r="AU884" s="354"/>
      <c r="AV884" s="354"/>
      <c r="AW884" s="354"/>
    </row>
    <row r="885" spans="1:49">
      <c r="A885" s="354"/>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c r="AA885" s="354"/>
      <c r="AB885" s="354"/>
      <c r="AC885" s="354"/>
      <c r="AD885" s="354"/>
      <c r="AE885" s="354"/>
      <c r="AF885" s="354"/>
      <c r="AG885" s="354"/>
      <c r="AH885" s="354"/>
      <c r="AI885" s="354"/>
      <c r="AJ885" s="354"/>
      <c r="AK885" s="354"/>
      <c r="AL885" s="354"/>
      <c r="AM885" s="354"/>
      <c r="AN885" s="354"/>
      <c r="AO885" s="354"/>
      <c r="AP885" s="354"/>
      <c r="AQ885" s="354"/>
      <c r="AR885" s="354"/>
      <c r="AS885" s="354"/>
      <c r="AT885" s="354"/>
      <c r="AU885" s="354"/>
      <c r="AV885" s="354"/>
      <c r="AW885" s="354"/>
    </row>
    <row r="886" spans="1:49">
      <c r="A886" s="354"/>
      <c r="B886" s="354"/>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c r="AA886" s="354"/>
      <c r="AB886" s="354"/>
      <c r="AC886" s="354"/>
      <c r="AD886" s="354"/>
      <c r="AE886" s="354"/>
      <c r="AF886" s="354"/>
      <c r="AG886" s="354"/>
      <c r="AH886" s="354"/>
      <c r="AI886" s="354"/>
      <c r="AJ886" s="354"/>
      <c r="AK886" s="354"/>
      <c r="AL886" s="354"/>
      <c r="AM886" s="354"/>
      <c r="AN886" s="354"/>
      <c r="AO886" s="354"/>
      <c r="AP886" s="354"/>
      <c r="AQ886" s="354"/>
      <c r="AR886" s="354"/>
      <c r="AS886" s="354"/>
      <c r="AT886" s="354"/>
      <c r="AU886" s="354"/>
      <c r="AV886" s="354"/>
      <c r="AW886" s="354"/>
    </row>
    <row r="887" spans="1:49">
      <c r="A887" s="354"/>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c r="AA887" s="354"/>
      <c r="AB887" s="354"/>
      <c r="AC887" s="354"/>
      <c r="AD887" s="354"/>
      <c r="AE887" s="354"/>
      <c r="AF887" s="354"/>
      <c r="AG887" s="354"/>
      <c r="AH887" s="354"/>
      <c r="AI887" s="354"/>
      <c r="AJ887" s="354"/>
      <c r="AK887" s="354"/>
      <c r="AL887" s="354"/>
      <c r="AM887" s="354"/>
      <c r="AN887" s="354"/>
      <c r="AO887" s="354"/>
      <c r="AP887" s="354"/>
      <c r="AQ887" s="354"/>
      <c r="AR887" s="354"/>
      <c r="AS887" s="354"/>
      <c r="AT887" s="354"/>
      <c r="AU887" s="354"/>
      <c r="AV887" s="354"/>
      <c r="AW887" s="354"/>
    </row>
    <row r="888" spans="1:49">
      <c r="A888" s="354"/>
      <c r="B888" s="354"/>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c r="AA888" s="354"/>
      <c r="AB888" s="354"/>
      <c r="AC888" s="354"/>
      <c r="AD888" s="354"/>
      <c r="AE888" s="354"/>
      <c r="AF888" s="354"/>
      <c r="AG888" s="354"/>
      <c r="AH888" s="354"/>
      <c r="AI888" s="354"/>
      <c r="AJ888" s="354"/>
      <c r="AK888" s="354"/>
      <c r="AL888" s="354"/>
      <c r="AM888" s="354"/>
      <c r="AN888" s="354"/>
      <c r="AO888" s="354"/>
      <c r="AP888" s="354"/>
      <c r="AQ888" s="354"/>
      <c r="AR888" s="354"/>
      <c r="AS888" s="354"/>
      <c r="AT888" s="354"/>
      <c r="AU888" s="354"/>
      <c r="AV888" s="354"/>
      <c r="AW888" s="354"/>
    </row>
    <row r="889" spans="1:49">
      <c r="A889" s="354"/>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c r="AA889" s="354"/>
      <c r="AB889" s="354"/>
      <c r="AC889" s="354"/>
      <c r="AD889" s="354"/>
      <c r="AE889" s="354"/>
      <c r="AF889" s="354"/>
      <c r="AG889" s="354"/>
      <c r="AH889" s="354"/>
      <c r="AI889" s="354"/>
      <c r="AJ889" s="354"/>
      <c r="AK889" s="354"/>
      <c r="AL889" s="354"/>
      <c r="AM889" s="354"/>
      <c r="AN889" s="354"/>
      <c r="AO889" s="354"/>
      <c r="AP889" s="354"/>
      <c r="AQ889" s="354"/>
      <c r="AR889" s="354"/>
      <c r="AS889" s="354"/>
      <c r="AT889" s="354"/>
      <c r="AU889" s="354"/>
      <c r="AV889" s="354"/>
      <c r="AW889" s="354"/>
    </row>
    <row r="890" spans="1:49">
      <c r="A890" s="354"/>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c r="AA890" s="354"/>
      <c r="AB890" s="354"/>
      <c r="AC890" s="354"/>
      <c r="AD890" s="354"/>
      <c r="AE890" s="354"/>
      <c r="AF890" s="354"/>
      <c r="AG890" s="354"/>
      <c r="AH890" s="354"/>
      <c r="AI890" s="354"/>
      <c r="AJ890" s="354"/>
      <c r="AK890" s="354"/>
      <c r="AL890" s="354"/>
      <c r="AM890" s="354"/>
      <c r="AN890" s="354"/>
      <c r="AO890" s="354"/>
      <c r="AP890" s="354"/>
      <c r="AQ890" s="354"/>
      <c r="AR890" s="354"/>
      <c r="AS890" s="354"/>
      <c r="AT890" s="354"/>
      <c r="AU890" s="354"/>
      <c r="AV890" s="354"/>
      <c r="AW890" s="354"/>
    </row>
    <row r="891" spans="1:49">
      <c r="A891" s="354"/>
      <c r="B891" s="354"/>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c r="AA891" s="354"/>
      <c r="AB891" s="354"/>
      <c r="AC891" s="354"/>
      <c r="AD891" s="354"/>
      <c r="AE891" s="354"/>
      <c r="AF891" s="354"/>
      <c r="AG891" s="354"/>
      <c r="AH891" s="354"/>
      <c r="AI891" s="354"/>
      <c r="AJ891" s="354"/>
      <c r="AK891" s="354"/>
      <c r="AL891" s="354"/>
      <c r="AM891" s="354"/>
      <c r="AN891" s="354"/>
      <c r="AO891" s="354"/>
      <c r="AP891" s="354"/>
      <c r="AQ891" s="354"/>
      <c r="AR891" s="354"/>
      <c r="AS891" s="354"/>
      <c r="AT891" s="354"/>
      <c r="AU891" s="354"/>
      <c r="AV891" s="354"/>
      <c r="AW891" s="354"/>
    </row>
    <row r="892" spans="1:49">
      <c r="A892" s="354"/>
      <c r="B892" s="354"/>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c r="AA892" s="354"/>
      <c r="AB892" s="354"/>
      <c r="AC892" s="354"/>
      <c r="AD892" s="354"/>
      <c r="AE892" s="354"/>
      <c r="AF892" s="354"/>
      <c r="AG892" s="354"/>
      <c r="AH892" s="354"/>
      <c r="AI892" s="354"/>
      <c r="AJ892" s="354"/>
      <c r="AK892" s="354"/>
      <c r="AL892" s="354"/>
      <c r="AM892" s="354"/>
      <c r="AN892" s="354"/>
      <c r="AO892" s="354"/>
      <c r="AP892" s="354"/>
      <c r="AQ892" s="354"/>
      <c r="AR892" s="354"/>
      <c r="AS892" s="354"/>
      <c r="AT892" s="354"/>
      <c r="AU892" s="354"/>
      <c r="AV892" s="354"/>
      <c r="AW892" s="354"/>
    </row>
    <row r="893" spans="1:49">
      <c r="A893" s="354"/>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54"/>
      <c r="AE893" s="354"/>
      <c r="AF893" s="354"/>
      <c r="AG893" s="354"/>
      <c r="AH893" s="354"/>
      <c r="AI893" s="354"/>
      <c r="AJ893" s="354"/>
      <c r="AK893" s="354"/>
      <c r="AL893" s="354"/>
      <c r="AM893" s="354"/>
      <c r="AN893" s="354"/>
      <c r="AO893" s="354"/>
      <c r="AP893" s="354"/>
      <c r="AQ893" s="354"/>
      <c r="AR893" s="354"/>
      <c r="AS893" s="354"/>
      <c r="AT893" s="354"/>
      <c r="AU893" s="354"/>
      <c r="AV893" s="354"/>
      <c r="AW893" s="354"/>
    </row>
    <row r="894" spans="1:49">
      <c r="A894" s="354"/>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c r="AA894" s="354"/>
      <c r="AB894" s="354"/>
      <c r="AC894" s="354"/>
      <c r="AD894" s="354"/>
      <c r="AE894" s="354"/>
      <c r="AF894" s="354"/>
      <c r="AG894" s="354"/>
      <c r="AH894" s="354"/>
      <c r="AI894" s="354"/>
      <c r="AJ894" s="354"/>
      <c r="AK894" s="354"/>
      <c r="AL894" s="354"/>
      <c r="AM894" s="354"/>
      <c r="AN894" s="354"/>
      <c r="AO894" s="354"/>
      <c r="AP894" s="354"/>
      <c r="AQ894" s="354"/>
      <c r="AR894" s="354"/>
      <c r="AS894" s="354"/>
      <c r="AT894" s="354"/>
      <c r="AU894" s="354"/>
      <c r="AV894" s="354"/>
      <c r="AW894" s="354"/>
    </row>
    <row r="895" spans="1:49">
      <c r="A895" s="354"/>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c r="AA895" s="354"/>
      <c r="AB895" s="354"/>
      <c r="AC895" s="354"/>
      <c r="AD895" s="354"/>
      <c r="AE895" s="354"/>
      <c r="AF895" s="354"/>
      <c r="AG895" s="354"/>
      <c r="AH895" s="354"/>
      <c r="AI895" s="354"/>
      <c r="AJ895" s="354"/>
      <c r="AK895" s="354"/>
      <c r="AL895" s="354"/>
      <c r="AM895" s="354"/>
      <c r="AN895" s="354"/>
      <c r="AO895" s="354"/>
      <c r="AP895" s="354"/>
      <c r="AQ895" s="354"/>
      <c r="AR895" s="354"/>
      <c r="AS895" s="354"/>
      <c r="AT895" s="354"/>
      <c r="AU895" s="354"/>
      <c r="AV895" s="354"/>
      <c r="AW895" s="354"/>
    </row>
    <row r="896" spans="1:49">
      <c r="A896" s="354"/>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c r="AA896" s="354"/>
      <c r="AB896" s="354"/>
      <c r="AC896" s="354"/>
      <c r="AD896" s="354"/>
      <c r="AE896" s="354"/>
      <c r="AF896" s="354"/>
      <c r="AG896" s="354"/>
      <c r="AH896" s="354"/>
      <c r="AI896" s="354"/>
      <c r="AJ896" s="354"/>
      <c r="AK896" s="354"/>
      <c r="AL896" s="354"/>
      <c r="AM896" s="354"/>
      <c r="AN896" s="354"/>
      <c r="AO896" s="354"/>
      <c r="AP896" s="354"/>
      <c r="AQ896" s="354"/>
      <c r="AR896" s="354"/>
      <c r="AS896" s="354"/>
      <c r="AT896" s="354"/>
      <c r="AU896" s="354"/>
      <c r="AV896" s="354"/>
      <c r="AW896" s="354"/>
    </row>
    <row r="897" spans="1:49">
      <c r="A897" s="354"/>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c r="AA897" s="354"/>
      <c r="AB897" s="354"/>
      <c r="AC897" s="354"/>
      <c r="AD897" s="354"/>
      <c r="AE897" s="354"/>
      <c r="AF897" s="354"/>
      <c r="AG897" s="354"/>
      <c r="AH897" s="354"/>
      <c r="AI897" s="354"/>
      <c r="AJ897" s="354"/>
      <c r="AK897" s="354"/>
      <c r="AL897" s="354"/>
      <c r="AM897" s="354"/>
      <c r="AN897" s="354"/>
      <c r="AO897" s="354"/>
      <c r="AP897" s="354"/>
      <c r="AQ897" s="354"/>
      <c r="AR897" s="354"/>
      <c r="AS897" s="354"/>
      <c r="AT897" s="354"/>
      <c r="AU897" s="354"/>
      <c r="AV897" s="354"/>
      <c r="AW897" s="354"/>
    </row>
    <row r="898" spans="1:49">
      <c r="A898" s="354"/>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c r="AA898" s="354"/>
      <c r="AB898" s="354"/>
      <c r="AC898" s="354"/>
      <c r="AD898" s="354"/>
      <c r="AE898" s="354"/>
      <c r="AF898" s="354"/>
      <c r="AG898" s="354"/>
      <c r="AH898" s="354"/>
      <c r="AI898" s="354"/>
      <c r="AJ898" s="354"/>
      <c r="AK898" s="354"/>
      <c r="AL898" s="354"/>
      <c r="AM898" s="354"/>
      <c r="AN898" s="354"/>
      <c r="AO898" s="354"/>
      <c r="AP898" s="354"/>
      <c r="AQ898" s="354"/>
      <c r="AR898" s="354"/>
      <c r="AS898" s="354"/>
      <c r="AT898" s="354"/>
      <c r="AU898" s="354"/>
      <c r="AV898" s="354"/>
      <c r="AW898" s="354"/>
    </row>
    <row r="899" spans="1:49">
      <c r="A899" s="354"/>
      <c r="B899" s="354"/>
      <c r="C899" s="354"/>
      <c r="D899" s="354"/>
      <c r="E899" s="354"/>
      <c r="F899" s="354"/>
      <c r="G899" s="354"/>
      <c r="H899" s="354"/>
      <c r="I899" s="354"/>
      <c r="J899" s="354"/>
      <c r="K899" s="354"/>
      <c r="L899" s="354"/>
      <c r="M899" s="354"/>
      <c r="N899" s="354"/>
      <c r="O899" s="354"/>
      <c r="P899" s="354"/>
      <c r="Q899" s="354"/>
      <c r="R899" s="354"/>
      <c r="S899" s="354"/>
      <c r="T899" s="354"/>
      <c r="U899" s="354"/>
      <c r="V899" s="354"/>
      <c r="W899" s="354"/>
      <c r="X899" s="354"/>
      <c r="Y899" s="354"/>
      <c r="Z899" s="354"/>
      <c r="AA899" s="354"/>
      <c r="AB899" s="354"/>
      <c r="AC899" s="354"/>
      <c r="AD899" s="354"/>
      <c r="AE899" s="354"/>
      <c r="AF899" s="354"/>
      <c r="AG899" s="354"/>
      <c r="AH899" s="354"/>
      <c r="AI899" s="354"/>
      <c r="AJ899" s="354"/>
      <c r="AK899" s="354"/>
      <c r="AL899" s="354"/>
      <c r="AM899" s="354"/>
      <c r="AN899" s="354"/>
      <c r="AO899" s="354"/>
      <c r="AP899" s="354"/>
      <c r="AQ899" s="354"/>
      <c r="AR899" s="354"/>
      <c r="AS899" s="354"/>
      <c r="AT899" s="354"/>
      <c r="AU899" s="354"/>
      <c r="AV899" s="354"/>
      <c r="AW899" s="354"/>
    </row>
    <row r="900" spans="1:49">
      <c r="A900" s="354"/>
      <c r="B900" s="354"/>
      <c r="C900" s="354"/>
      <c r="D900" s="354"/>
      <c r="E900" s="354"/>
      <c r="F900" s="354"/>
      <c r="G900" s="354"/>
      <c r="H900" s="354"/>
      <c r="I900" s="354"/>
      <c r="J900" s="354"/>
      <c r="K900" s="354"/>
      <c r="L900" s="354"/>
      <c r="M900" s="354"/>
      <c r="N900" s="354"/>
      <c r="O900" s="354"/>
      <c r="P900" s="354"/>
      <c r="Q900" s="354"/>
      <c r="R900" s="354"/>
      <c r="S900" s="354"/>
      <c r="T900" s="354"/>
      <c r="U900" s="354"/>
      <c r="V900" s="354"/>
      <c r="W900" s="354"/>
      <c r="X900" s="354"/>
      <c r="Y900" s="354"/>
      <c r="Z900" s="354"/>
      <c r="AA900" s="354"/>
      <c r="AB900" s="354"/>
      <c r="AC900" s="354"/>
      <c r="AD900" s="354"/>
      <c r="AE900" s="354"/>
      <c r="AF900" s="354"/>
      <c r="AG900" s="354"/>
      <c r="AH900" s="354"/>
      <c r="AI900" s="354"/>
      <c r="AJ900" s="354"/>
      <c r="AK900" s="354"/>
      <c r="AL900" s="354"/>
      <c r="AM900" s="354"/>
      <c r="AN900" s="354"/>
      <c r="AO900" s="354"/>
      <c r="AP900" s="354"/>
      <c r="AQ900" s="354"/>
      <c r="AR900" s="354"/>
      <c r="AS900" s="354"/>
      <c r="AT900" s="354"/>
      <c r="AU900" s="354"/>
      <c r="AV900" s="354"/>
      <c r="AW900" s="354"/>
    </row>
    <row r="901" spans="1:49">
      <c r="A901" s="354"/>
      <c r="B901" s="354"/>
      <c r="C901" s="354"/>
      <c r="D901" s="354"/>
      <c r="E901" s="354"/>
      <c r="F901" s="354"/>
      <c r="G901" s="354"/>
      <c r="H901" s="354"/>
      <c r="I901" s="354"/>
      <c r="J901" s="354"/>
      <c r="K901" s="354"/>
      <c r="L901" s="354"/>
      <c r="M901" s="354"/>
      <c r="N901" s="354"/>
      <c r="O901" s="354"/>
      <c r="P901" s="354"/>
      <c r="Q901" s="354"/>
      <c r="R901" s="354"/>
      <c r="S901" s="354"/>
      <c r="T901" s="354"/>
      <c r="U901" s="354"/>
      <c r="V901" s="354"/>
      <c r="W901" s="354"/>
      <c r="X901" s="354"/>
      <c r="Y901" s="354"/>
      <c r="Z901" s="354"/>
      <c r="AA901" s="354"/>
      <c r="AB901" s="354"/>
      <c r="AC901" s="354"/>
      <c r="AD901" s="354"/>
      <c r="AE901" s="354"/>
      <c r="AF901" s="354"/>
      <c r="AG901" s="354"/>
      <c r="AH901" s="354"/>
      <c r="AI901" s="354"/>
      <c r="AJ901" s="354"/>
      <c r="AK901" s="354"/>
      <c r="AL901" s="354"/>
      <c r="AM901" s="354"/>
      <c r="AN901" s="354"/>
      <c r="AO901" s="354"/>
      <c r="AP901" s="354"/>
      <c r="AQ901" s="354"/>
      <c r="AR901" s="354"/>
      <c r="AS901" s="354"/>
      <c r="AT901" s="354"/>
      <c r="AU901" s="354"/>
      <c r="AV901" s="354"/>
      <c r="AW901" s="354"/>
    </row>
    <row r="902" spans="1:49">
      <c r="A902" s="354"/>
      <c r="B902" s="354"/>
      <c r="C902" s="354"/>
      <c r="D902" s="354"/>
      <c r="E902" s="354"/>
      <c r="F902" s="354"/>
      <c r="G902" s="354"/>
      <c r="H902" s="354"/>
      <c r="I902" s="354"/>
      <c r="J902" s="354"/>
      <c r="K902" s="354"/>
      <c r="L902" s="354"/>
      <c r="M902" s="354"/>
      <c r="N902" s="354"/>
      <c r="O902" s="354"/>
      <c r="P902" s="354"/>
      <c r="Q902" s="354"/>
      <c r="R902" s="354"/>
      <c r="S902" s="354"/>
      <c r="T902" s="354"/>
      <c r="U902" s="354"/>
      <c r="V902" s="354"/>
      <c r="W902" s="354"/>
      <c r="X902" s="354"/>
      <c r="Y902" s="354"/>
      <c r="Z902" s="354"/>
      <c r="AA902" s="354"/>
      <c r="AB902" s="354"/>
      <c r="AC902" s="354"/>
      <c r="AD902" s="354"/>
      <c r="AE902" s="354"/>
      <c r="AF902" s="354"/>
      <c r="AG902" s="354"/>
      <c r="AH902" s="354"/>
      <c r="AI902" s="354"/>
      <c r="AJ902" s="354"/>
      <c r="AK902" s="354"/>
      <c r="AL902" s="354"/>
      <c r="AM902" s="354"/>
      <c r="AN902" s="354"/>
      <c r="AO902" s="354"/>
      <c r="AP902" s="354"/>
      <c r="AQ902" s="354"/>
      <c r="AR902" s="354"/>
      <c r="AS902" s="354"/>
      <c r="AT902" s="354"/>
      <c r="AU902" s="354"/>
      <c r="AV902" s="354"/>
      <c r="AW902" s="354"/>
    </row>
    <row r="903" spans="1:49">
      <c r="A903" s="354"/>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c r="AA903" s="354"/>
      <c r="AB903" s="354"/>
      <c r="AC903" s="354"/>
      <c r="AD903" s="354"/>
      <c r="AE903" s="354"/>
      <c r="AF903" s="354"/>
      <c r="AG903" s="354"/>
      <c r="AH903" s="354"/>
      <c r="AI903" s="354"/>
      <c r="AJ903" s="354"/>
      <c r="AK903" s="354"/>
      <c r="AL903" s="354"/>
      <c r="AM903" s="354"/>
      <c r="AN903" s="354"/>
      <c r="AO903" s="354"/>
      <c r="AP903" s="354"/>
      <c r="AQ903" s="354"/>
      <c r="AR903" s="354"/>
      <c r="AS903" s="354"/>
      <c r="AT903" s="354"/>
      <c r="AU903" s="354"/>
      <c r="AV903" s="354"/>
      <c r="AW903" s="354"/>
    </row>
    <row r="904" spans="1:49">
      <c r="A904" s="354"/>
      <c r="B904" s="354"/>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c r="AA904" s="354"/>
      <c r="AB904" s="354"/>
      <c r="AC904" s="354"/>
      <c r="AD904" s="354"/>
      <c r="AE904" s="354"/>
      <c r="AF904" s="354"/>
      <c r="AG904" s="354"/>
      <c r="AH904" s="354"/>
      <c r="AI904" s="354"/>
      <c r="AJ904" s="354"/>
      <c r="AK904" s="354"/>
      <c r="AL904" s="354"/>
      <c r="AM904" s="354"/>
      <c r="AN904" s="354"/>
      <c r="AO904" s="354"/>
      <c r="AP904" s="354"/>
      <c r="AQ904" s="354"/>
      <c r="AR904" s="354"/>
      <c r="AS904" s="354"/>
      <c r="AT904" s="354"/>
      <c r="AU904" s="354"/>
      <c r="AV904" s="354"/>
      <c r="AW904" s="354"/>
    </row>
    <row r="905" spans="1:49">
      <c r="A905" s="354"/>
      <c r="B905" s="354"/>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c r="AA905" s="354"/>
      <c r="AB905" s="354"/>
      <c r="AC905" s="354"/>
      <c r="AD905" s="354"/>
      <c r="AE905" s="354"/>
      <c r="AF905" s="354"/>
      <c r="AG905" s="354"/>
      <c r="AH905" s="354"/>
      <c r="AI905" s="354"/>
      <c r="AJ905" s="354"/>
      <c r="AK905" s="354"/>
      <c r="AL905" s="354"/>
      <c r="AM905" s="354"/>
      <c r="AN905" s="354"/>
      <c r="AO905" s="354"/>
      <c r="AP905" s="354"/>
      <c r="AQ905" s="354"/>
      <c r="AR905" s="354"/>
      <c r="AS905" s="354"/>
      <c r="AT905" s="354"/>
      <c r="AU905" s="354"/>
      <c r="AV905" s="354"/>
      <c r="AW905" s="354"/>
    </row>
    <row r="906" spans="1:49">
      <c r="A906" s="354"/>
      <c r="B906" s="354"/>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c r="AA906" s="354"/>
      <c r="AB906" s="354"/>
      <c r="AC906" s="354"/>
      <c r="AD906" s="354"/>
      <c r="AE906" s="354"/>
      <c r="AF906" s="354"/>
      <c r="AG906" s="354"/>
      <c r="AH906" s="354"/>
      <c r="AI906" s="354"/>
      <c r="AJ906" s="354"/>
      <c r="AK906" s="354"/>
      <c r="AL906" s="354"/>
      <c r="AM906" s="354"/>
      <c r="AN906" s="354"/>
      <c r="AO906" s="354"/>
      <c r="AP906" s="354"/>
      <c r="AQ906" s="354"/>
      <c r="AR906" s="354"/>
      <c r="AS906" s="354"/>
      <c r="AT906" s="354"/>
      <c r="AU906" s="354"/>
      <c r="AV906" s="354"/>
      <c r="AW906" s="354"/>
    </row>
    <row r="907" spans="1:49">
      <c r="A907" s="354"/>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c r="AA907" s="354"/>
      <c r="AB907" s="354"/>
      <c r="AC907" s="354"/>
      <c r="AD907" s="354"/>
      <c r="AE907" s="354"/>
      <c r="AF907" s="354"/>
      <c r="AG907" s="354"/>
      <c r="AH907" s="354"/>
      <c r="AI907" s="354"/>
      <c r="AJ907" s="354"/>
      <c r="AK907" s="354"/>
      <c r="AL907" s="354"/>
      <c r="AM907" s="354"/>
      <c r="AN907" s="354"/>
      <c r="AO907" s="354"/>
      <c r="AP907" s="354"/>
      <c r="AQ907" s="354"/>
      <c r="AR907" s="354"/>
      <c r="AS907" s="354"/>
      <c r="AT907" s="354"/>
      <c r="AU907" s="354"/>
      <c r="AV907" s="354"/>
      <c r="AW907" s="354"/>
    </row>
    <row r="908" spans="1:49">
      <c r="A908" s="354"/>
      <c r="B908" s="354"/>
      <c r="C908" s="354"/>
      <c r="D908" s="354"/>
      <c r="E908" s="354"/>
      <c r="F908" s="354"/>
      <c r="G908" s="354"/>
      <c r="H908" s="354"/>
      <c r="I908" s="354"/>
      <c r="J908" s="354"/>
      <c r="K908" s="354"/>
      <c r="L908" s="354"/>
      <c r="M908" s="354"/>
      <c r="N908" s="354"/>
      <c r="O908" s="354"/>
      <c r="P908" s="354"/>
      <c r="Q908" s="354"/>
      <c r="R908" s="354"/>
      <c r="S908" s="354"/>
      <c r="T908" s="354"/>
      <c r="U908" s="354"/>
      <c r="V908" s="354"/>
      <c r="W908" s="354"/>
      <c r="X908" s="354"/>
      <c r="Y908" s="354"/>
      <c r="Z908" s="354"/>
      <c r="AA908" s="354"/>
      <c r="AB908" s="354"/>
      <c r="AC908" s="354"/>
      <c r="AD908" s="354"/>
      <c r="AE908" s="354"/>
      <c r="AF908" s="354"/>
      <c r="AG908" s="354"/>
      <c r="AH908" s="354"/>
      <c r="AI908" s="354"/>
      <c r="AJ908" s="354"/>
      <c r="AK908" s="354"/>
      <c r="AL908" s="354"/>
      <c r="AM908" s="354"/>
      <c r="AN908" s="354"/>
      <c r="AO908" s="354"/>
      <c r="AP908" s="354"/>
      <c r="AQ908" s="354"/>
      <c r="AR908" s="354"/>
      <c r="AS908" s="354"/>
      <c r="AT908" s="354"/>
      <c r="AU908" s="354"/>
      <c r="AV908" s="354"/>
      <c r="AW908" s="354"/>
    </row>
    <row r="909" spans="1:49">
      <c r="A909" s="354"/>
      <c r="B909" s="354"/>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Y909" s="354"/>
      <c r="Z909" s="354"/>
      <c r="AA909" s="354"/>
      <c r="AB909" s="354"/>
      <c r="AC909" s="354"/>
      <c r="AD909" s="354"/>
      <c r="AE909" s="354"/>
      <c r="AF909" s="354"/>
      <c r="AG909" s="354"/>
      <c r="AH909" s="354"/>
      <c r="AI909" s="354"/>
      <c r="AJ909" s="354"/>
      <c r="AK909" s="354"/>
      <c r="AL909" s="354"/>
      <c r="AM909" s="354"/>
      <c r="AN909" s="354"/>
      <c r="AO909" s="354"/>
      <c r="AP909" s="354"/>
      <c r="AQ909" s="354"/>
      <c r="AR909" s="354"/>
      <c r="AS909" s="354"/>
      <c r="AT909" s="354"/>
      <c r="AU909" s="354"/>
      <c r="AV909" s="354"/>
      <c r="AW909" s="354"/>
    </row>
    <row r="910" spans="1:49">
      <c r="A910" s="354"/>
      <c r="B910" s="354"/>
      <c r="C910" s="354"/>
      <c r="D910" s="354"/>
      <c r="E910" s="354"/>
      <c r="F910" s="354"/>
      <c r="G910" s="354"/>
      <c r="H910" s="354"/>
      <c r="I910" s="354"/>
      <c r="J910" s="354"/>
      <c r="K910" s="354"/>
      <c r="L910" s="354"/>
      <c r="M910" s="354"/>
      <c r="N910" s="354"/>
      <c r="O910" s="354"/>
      <c r="P910" s="354"/>
      <c r="Q910" s="354"/>
      <c r="R910" s="354"/>
      <c r="S910" s="354"/>
      <c r="T910" s="354"/>
      <c r="U910" s="354"/>
      <c r="V910" s="354"/>
      <c r="W910" s="354"/>
      <c r="X910" s="354"/>
      <c r="Y910" s="354"/>
      <c r="Z910" s="354"/>
      <c r="AA910" s="354"/>
      <c r="AB910" s="354"/>
      <c r="AC910" s="354"/>
      <c r="AD910" s="354"/>
      <c r="AE910" s="354"/>
      <c r="AF910" s="354"/>
      <c r="AG910" s="354"/>
      <c r="AH910" s="354"/>
      <c r="AI910" s="354"/>
      <c r="AJ910" s="354"/>
      <c r="AK910" s="354"/>
      <c r="AL910" s="354"/>
      <c r="AM910" s="354"/>
      <c r="AN910" s="354"/>
      <c r="AO910" s="354"/>
      <c r="AP910" s="354"/>
      <c r="AQ910" s="354"/>
      <c r="AR910" s="354"/>
      <c r="AS910" s="354"/>
      <c r="AT910" s="354"/>
      <c r="AU910" s="354"/>
      <c r="AV910" s="354"/>
      <c r="AW910" s="354"/>
    </row>
    <row r="911" spans="1:49">
      <c r="A911" s="354"/>
      <c r="B911" s="354"/>
      <c r="C911" s="354"/>
      <c r="D911" s="354"/>
      <c r="E911" s="354"/>
      <c r="F911" s="354"/>
      <c r="G911" s="354"/>
      <c r="H911" s="354"/>
      <c r="I911" s="354"/>
      <c r="J911" s="354"/>
      <c r="K911" s="354"/>
      <c r="L911" s="354"/>
      <c r="M911" s="354"/>
      <c r="N911" s="354"/>
      <c r="O911" s="354"/>
      <c r="P911" s="354"/>
      <c r="Q911" s="354"/>
      <c r="R911" s="354"/>
      <c r="S911" s="354"/>
      <c r="T911" s="354"/>
      <c r="U911" s="354"/>
      <c r="V911" s="354"/>
      <c r="W911" s="354"/>
      <c r="X911" s="354"/>
      <c r="Y911" s="354"/>
      <c r="Z911" s="354"/>
      <c r="AA911" s="354"/>
      <c r="AB911" s="354"/>
      <c r="AC911" s="354"/>
      <c r="AD911" s="354"/>
      <c r="AE911" s="354"/>
      <c r="AF911" s="354"/>
      <c r="AG911" s="354"/>
      <c r="AH911" s="354"/>
      <c r="AI911" s="354"/>
      <c r="AJ911" s="354"/>
      <c r="AK911" s="354"/>
      <c r="AL911" s="354"/>
      <c r="AM911" s="354"/>
      <c r="AN911" s="354"/>
      <c r="AO911" s="354"/>
      <c r="AP911" s="354"/>
      <c r="AQ911" s="354"/>
      <c r="AR911" s="354"/>
      <c r="AS911" s="354"/>
      <c r="AT911" s="354"/>
      <c r="AU911" s="354"/>
      <c r="AV911" s="354"/>
      <c r="AW911" s="354"/>
    </row>
    <row r="912" spans="1:49">
      <c r="A912" s="354"/>
      <c r="B912" s="354"/>
      <c r="C912" s="354"/>
      <c r="D912" s="354"/>
      <c r="E912" s="354"/>
      <c r="F912" s="354"/>
      <c r="G912" s="354"/>
      <c r="H912" s="354"/>
      <c r="I912" s="354"/>
      <c r="J912" s="354"/>
      <c r="K912" s="354"/>
      <c r="L912" s="354"/>
      <c r="M912" s="354"/>
      <c r="N912" s="354"/>
      <c r="O912" s="354"/>
      <c r="P912" s="354"/>
      <c r="Q912" s="354"/>
      <c r="R912" s="354"/>
      <c r="S912" s="354"/>
      <c r="T912" s="354"/>
      <c r="U912" s="354"/>
      <c r="V912" s="354"/>
      <c r="W912" s="354"/>
      <c r="X912" s="354"/>
      <c r="Y912" s="354"/>
      <c r="Z912" s="354"/>
      <c r="AA912" s="354"/>
      <c r="AB912" s="354"/>
      <c r="AC912" s="354"/>
      <c r="AD912" s="354"/>
      <c r="AE912" s="354"/>
      <c r="AF912" s="354"/>
      <c r="AG912" s="354"/>
      <c r="AH912" s="354"/>
      <c r="AI912" s="354"/>
      <c r="AJ912" s="354"/>
      <c r="AK912" s="354"/>
      <c r="AL912" s="354"/>
      <c r="AM912" s="354"/>
      <c r="AN912" s="354"/>
      <c r="AO912" s="354"/>
      <c r="AP912" s="354"/>
      <c r="AQ912" s="354"/>
      <c r="AR912" s="354"/>
      <c r="AS912" s="354"/>
      <c r="AT912" s="354"/>
      <c r="AU912" s="354"/>
      <c r="AV912" s="354"/>
      <c r="AW912" s="354"/>
    </row>
    <row r="913" spans="1:49">
      <c r="A913" s="354"/>
      <c r="B913" s="354"/>
      <c r="C913" s="354"/>
      <c r="D913" s="354"/>
      <c r="E913" s="354"/>
      <c r="F913" s="354"/>
      <c r="G913" s="354"/>
      <c r="H913" s="354"/>
      <c r="I913" s="354"/>
      <c r="J913" s="354"/>
      <c r="K913" s="354"/>
      <c r="L913" s="354"/>
      <c r="M913" s="354"/>
      <c r="N913" s="354"/>
      <c r="O913" s="354"/>
      <c r="P913" s="354"/>
      <c r="Q913" s="354"/>
      <c r="R913" s="354"/>
      <c r="S913" s="354"/>
      <c r="T913" s="354"/>
      <c r="U913" s="354"/>
      <c r="V913" s="354"/>
      <c r="W913" s="354"/>
      <c r="X913" s="354"/>
      <c r="Y913" s="354"/>
      <c r="Z913" s="354"/>
      <c r="AA913" s="354"/>
      <c r="AB913" s="354"/>
      <c r="AC913" s="354"/>
      <c r="AD913" s="354"/>
      <c r="AE913" s="354"/>
      <c r="AF913" s="354"/>
      <c r="AG913" s="354"/>
      <c r="AH913" s="354"/>
      <c r="AI913" s="354"/>
      <c r="AJ913" s="354"/>
      <c r="AK913" s="354"/>
      <c r="AL913" s="354"/>
      <c r="AM913" s="354"/>
      <c r="AN913" s="354"/>
      <c r="AO913" s="354"/>
      <c r="AP913" s="354"/>
      <c r="AQ913" s="354"/>
      <c r="AR913" s="354"/>
      <c r="AS913" s="354"/>
      <c r="AT913" s="354"/>
      <c r="AU913" s="354"/>
      <c r="AV913" s="354"/>
      <c r="AW913" s="354"/>
    </row>
    <row r="914" spans="1:49">
      <c r="A914" s="354"/>
      <c r="B914" s="354"/>
      <c r="C914" s="354"/>
      <c r="D914" s="354"/>
      <c r="E914" s="354"/>
      <c r="F914" s="354"/>
      <c r="G914" s="354"/>
      <c r="H914" s="354"/>
      <c r="I914" s="354"/>
      <c r="J914" s="354"/>
      <c r="K914" s="354"/>
      <c r="L914" s="354"/>
      <c r="M914" s="354"/>
      <c r="N914" s="354"/>
      <c r="O914" s="354"/>
      <c r="P914" s="354"/>
      <c r="Q914" s="354"/>
      <c r="R914" s="354"/>
      <c r="S914" s="354"/>
      <c r="T914" s="354"/>
      <c r="U914" s="354"/>
      <c r="V914" s="354"/>
      <c r="W914" s="354"/>
      <c r="X914" s="354"/>
      <c r="Y914" s="354"/>
      <c r="Z914" s="354"/>
      <c r="AA914" s="354"/>
      <c r="AB914" s="354"/>
      <c r="AC914" s="354"/>
      <c r="AD914" s="354"/>
      <c r="AE914" s="354"/>
      <c r="AF914" s="354"/>
      <c r="AG914" s="354"/>
      <c r="AH914" s="354"/>
      <c r="AI914" s="354"/>
      <c r="AJ914" s="354"/>
      <c r="AK914" s="354"/>
      <c r="AL914" s="354"/>
      <c r="AM914" s="354"/>
      <c r="AN914" s="354"/>
      <c r="AO914" s="354"/>
      <c r="AP914" s="354"/>
      <c r="AQ914" s="354"/>
      <c r="AR914" s="354"/>
      <c r="AS914" s="354"/>
      <c r="AT914" s="354"/>
      <c r="AU914" s="354"/>
      <c r="AV914" s="354"/>
      <c r="AW914" s="354"/>
    </row>
    <row r="915" spans="1:49">
      <c r="A915" s="354"/>
      <c r="B915" s="354"/>
      <c r="C915" s="354"/>
      <c r="D915" s="354"/>
      <c r="E915" s="354"/>
      <c r="F915" s="354"/>
      <c r="G915" s="354"/>
      <c r="H915" s="354"/>
      <c r="I915" s="354"/>
      <c r="J915" s="354"/>
      <c r="K915" s="354"/>
      <c r="L915" s="354"/>
      <c r="M915" s="354"/>
      <c r="N915" s="354"/>
      <c r="O915" s="354"/>
      <c r="P915" s="354"/>
      <c r="Q915" s="354"/>
      <c r="R915" s="354"/>
      <c r="S915" s="354"/>
      <c r="T915" s="354"/>
      <c r="U915" s="354"/>
      <c r="V915" s="354"/>
      <c r="W915" s="354"/>
      <c r="X915" s="354"/>
      <c r="Y915" s="354"/>
      <c r="Z915" s="354"/>
      <c r="AA915" s="354"/>
      <c r="AB915" s="354"/>
      <c r="AC915" s="354"/>
      <c r="AD915" s="354"/>
      <c r="AE915" s="354"/>
      <c r="AF915" s="354"/>
      <c r="AG915" s="354"/>
      <c r="AH915" s="354"/>
      <c r="AI915" s="354"/>
      <c r="AJ915" s="354"/>
      <c r="AK915" s="354"/>
      <c r="AL915" s="354"/>
      <c r="AM915" s="354"/>
      <c r="AN915" s="354"/>
      <c r="AO915" s="354"/>
      <c r="AP915" s="354"/>
      <c r="AQ915" s="354"/>
      <c r="AR915" s="354"/>
      <c r="AS915" s="354"/>
      <c r="AT915" s="354"/>
      <c r="AU915" s="354"/>
      <c r="AV915" s="354"/>
      <c r="AW915" s="354"/>
    </row>
    <row r="916" spans="1:49">
      <c r="A916" s="354"/>
      <c r="B916" s="354"/>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c r="AA916" s="354"/>
      <c r="AB916" s="354"/>
      <c r="AC916" s="354"/>
      <c r="AD916" s="354"/>
      <c r="AE916" s="354"/>
      <c r="AF916" s="354"/>
      <c r="AG916" s="354"/>
      <c r="AH916" s="354"/>
      <c r="AI916" s="354"/>
      <c r="AJ916" s="354"/>
      <c r="AK916" s="354"/>
      <c r="AL916" s="354"/>
      <c r="AM916" s="354"/>
      <c r="AN916" s="354"/>
      <c r="AO916" s="354"/>
      <c r="AP916" s="354"/>
      <c r="AQ916" s="354"/>
      <c r="AR916" s="354"/>
      <c r="AS916" s="354"/>
      <c r="AT916" s="354"/>
      <c r="AU916" s="354"/>
      <c r="AV916" s="354"/>
      <c r="AW916" s="354"/>
    </row>
    <row r="917" spans="1:49">
      <c r="A917" s="354"/>
      <c r="B917" s="354"/>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c r="AA917" s="354"/>
      <c r="AB917" s="354"/>
      <c r="AC917" s="354"/>
      <c r="AD917" s="354"/>
      <c r="AE917" s="354"/>
      <c r="AF917" s="354"/>
      <c r="AG917" s="354"/>
      <c r="AH917" s="354"/>
      <c r="AI917" s="354"/>
      <c r="AJ917" s="354"/>
      <c r="AK917" s="354"/>
      <c r="AL917" s="354"/>
      <c r="AM917" s="354"/>
      <c r="AN917" s="354"/>
      <c r="AO917" s="354"/>
      <c r="AP917" s="354"/>
      <c r="AQ917" s="354"/>
      <c r="AR917" s="354"/>
      <c r="AS917" s="354"/>
      <c r="AT917" s="354"/>
      <c r="AU917" s="354"/>
      <c r="AV917" s="354"/>
      <c r="AW917" s="354"/>
    </row>
    <row r="918" spans="1:49">
      <c r="A918" s="354"/>
      <c r="B918" s="354"/>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c r="AA918" s="354"/>
      <c r="AB918" s="354"/>
      <c r="AC918" s="354"/>
      <c r="AD918" s="354"/>
      <c r="AE918" s="354"/>
      <c r="AF918" s="354"/>
      <c r="AG918" s="354"/>
      <c r="AH918" s="354"/>
      <c r="AI918" s="354"/>
      <c r="AJ918" s="354"/>
      <c r="AK918" s="354"/>
      <c r="AL918" s="354"/>
      <c r="AM918" s="354"/>
      <c r="AN918" s="354"/>
      <c r="AO918" s="354"/>
      <c r="AP918" s="354"/>
      <c r="AQ918" s="354"/>
      <c r="AR918" s="354"/>
      <c r="AS918" s="354"/>
      <c r="AT918" s="354"/>
      <c r="AU918" s="354"/>
      <c r="AV918" s="354"/>
      <c r="AW918" s="354"/>
    </row>
    <row r="919" spans="1:49">
      <c r="A919" s="354"/>
      <c r="B919" s="354"/>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c r="AA919" s="354"/>
      <c r="AB919" s="354"/>
      <c r="AC919" s="354"/>
      <c r="AD919" s="354"/>
      <c r="AE919" s="354"/>
      <c r="AF919" s="354"/>
      <c r="AG919" s="354"/>
      <c r="AH919" s="354"/>
      <c r="AI919" s="354"/>
      <c r="AJ919" s="354"/>
      <c r="AK919" s="354"/>
      <c r="AL919" s="354"/>
      <c r="AM919" s="354"/>
      <c r="AN919" s="354"/>
      <c r="AO919" s="354"/>
      <c r="AP919" s="354"/>
      <c r="AQ919" s="354"/>
      <c r="AR919" s="354"/>
      <c r="AS919" s="354"/>
      <c r="AT919" s="354"/>
      <c r="AU919" s="354"/>
      <c r="AV919" s="354"/>
      <c r="AW919" s="354"/>
    </row>
    <row r="920" spans="1:49">
      <c r="A920" s="354"/>
      <c r="B920" s="354"/>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c r="AA920" s="354"/>
      <c r="AB920" s="354"/>
      <c r="AC920" s="354"/>
      <c r="AD920" s="354"/>
      <c r="AE920" s="354"/>
      <c r="AF920" s="354"/>
      <c r="AG920" s="354"/>
      <c r="AH920" s="354"/>
      <c r="AI920" s="354"/>
      <c r="AJ920" s="354"/>
      <c r="AK920" s="354"/>
      <c r="AL920" s="354"/>
      <c r="AM920" s="354"/>
      <c r="AN920" s="354"/>
      <c r="AO920" s="354"/>
      <c r="AP920" s="354"/>
      <c r="AQ920" s="354"/>
      <c r="AR920" s="354"/>
      <c r="AS920" s="354"/>
      <c r="AT920" s="354"/>
      <c r="AU920" s="354"/>
      <c r="AV920" s="354"/>
      <c r="AW920" s="354"/>
    </row>
    <row r="921" spans="1:49">
      <c r="A921" s="354"/>
      <c r="B921" s="354"/>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c r="AA921" s="354"/>
      <c r="AB921" s="354"/>
      <c r="AC921" s="354"/>
      <c r="AD921" s="354"/>
      <c r="AE921" s="354"/>
      <c r="AF921" s="354"/>
      <c r="AG921" s="354"/>
      <c r="AH921" s="354"/>
      <c r="AI921" s="354"/>
      <c r="AJ921" s="354"/>
      <c r="AK921" s="354"/>
      <c r="AL921" s="354"/>
      <c r="AM921" s="354"/>
      <c r="AN921" s="354"/>
      <c r="AO921" s="354"/>
      <c r="AP921" s="354"/>
      <c r="AQ921" s="354"/>
      <c r="AR921" s="354"/>
      <c r="AS921" s="354"/>
      <c r="AT921" s="354"/>
      <c r="AU921" s="354"/>
      <c r="AV921" s="354"/>
      <c r="AW921" s="354"/>
    </row>
    <row r="922" spans="1:49">
      <c r="A922" s="354"/>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c r="AA922" s="354"/>
      <c r="AB922" s="354"/>
      <c r="AC922" s="354"/>
      <c r="AD922" s="354"/>
      <c r="AE922" s="354"/>
      <c r="AF922" s="354"/>
      <c r="AG922" s="354"/>
      <c r="AH922" s="354"/>
      <c r="AI922" s="354"/>
      <c r="AJ922" s="354"/>
      <c r="AK922" s="354"/>
      <c r="AL922" s="354"/>
      <c r="AM922" s="354"/>
      <c r="AN922" s="354"/>
      <c r="AO922" s="354"/>
      <c r="AP922" s="354"/>
      <c r="AQ922" s="354"/>
      <c r="AR922" s="354"/>
      <c r="AS922" s="354"/>
      <c r="AT922" s="354"/>
      <c r="AU922" s="354"/>
      <c r="AV922" s="354"/>
      <c r="AW922" s="354"/>
    </row>
    <row r="923" spans="1:49">
      <c r="A923" s="354"/>
      <c r="B923" s="354"/>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c r="AA923" s="354"/>
      <c r="AB923" s="354"/>
      <c r="AC923" s="354"/>
      <c r="AD923" s="354"/>
      <c r="AE923" s="354"/>
      <c r="AF923" s="354"/>
      <c r="AG923" s="354"/>
      <c r="AH923" s="354"/>
      <c r="AI923" s="354"/>
      <c r="AJ923" s="354"/>
      <c r="AK923" s="354"/>
      <c r="AL923" s="354"/>
      <c r="AM923" s="354"/>
      <c r="AN923" s="354"/>
      <c r="AO923" s="354"/>
      <c r="AP923" s="354"/>
      <c r="AQ923" s="354"/>
      <c r="AR923" s="354"/>
      <c r="AS923" s="354"/>
      <c r="AT923" s="354"/>
      <c r="AU923" s="354"/>
      <c r="AV923" s="354"/>
      <c r="AW923" s="354"/>
    </row>
    <row r="924" spans="1:49">
      <c r="A924" s="354"/>
      <c r="B924" s="354"/>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c r="AA924" s="354"/>
      <c r="AB924" s="354"/>
      <c r="AC924" s="354"/>
      <c r="AD924" s="354"/>
      <c r="AE924" s="354"/>
      <c r="AF924" s="354"/>
      <c r="AG924" s="354"/>
      <c r="AH924" s="354"/>
      <c r="AI924" s="354"/>
      <c r="AJ924" s="354"/>
      <c r="AK924" s="354"/>
      <c r="AL924" s="354"/>
      <c r="AM924" s="354"/>
      <c r="AN924" s="354"/>
      <c r="AO924" s="354"/>
      <c r="AP924" s="354"/>
      <c r="AQ924" s="354"/>
      <c r="AR924" s="354"/>
      <c r="AS924" s="354"/>
      <c r="AT924" s="354"/>
      <c r="AU924" s="354"/>
      <c r="AV924" s="354"/>
      <c r="AW924" s="354"/>
    </row>
    <row r="925" spans="1:49">
      <c r="A925" s="354"/>
      <c r="B925" s="354"/>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c r="AA925" s="354"/>
      <c r="AB925" s="354"/>
      <c r="AC925" s="354"/>
      <c r="AD925" s="354"/>
      <c r="AE925" s="354"/>
      <c r="AF925" s="354"/>
      <c r="AG925" s="354"/>
      <c r="AH925" s="354"/>
      <c r="AI925" s="354"/>
      <c r="AJ925" s="354"/>
      <c r="AK925" s="354"/>
      <c r="AL925" s="354"/>
      <c r="AM925" s="354"/>
      <c r="AN925" s="354"/>
      <c r="AO925" s="354"/>
      <c r="AP925" s="354"/>
      <c r="AQ925" s="354"/>
      <c r="AR925" s="354"/>
      <c r="AS925" s="354"/>
      <c r="AT925" s="354"/>
      <c r="AU925" s="354"/>
      <c r="AV925" s="354"/>
      <c r="AW925" s="354"/>
    </row>
    <row r="926" spans="1:49">
      <c r="A926" s="354"/>
      <c r="B926" s="354"/>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c r="AA926" s="354"/>
      <c r="AB926" s="354"/>
      <c r="AC926" s="354"/>
      <c r="AD926" s="354"/>
      <c r="AE926" s="354"/>
      <c r="AF926" s="354"/>
      <c r="AG926" s="354"/>
      <c r="AH926" s="354"/>
      <c r="AI926" s="354"/>
      <c r="AJ926" s="354"/>
      <c r="AK926" s="354"/>
      <c r="AL926" s="354"/>
      <c r="AM926" s="354"/>
      <c r="AN926" s="354"/>
      <c r="AO926" s="354"/>
      <c r="AP926" s="354"/>
      <c r="AQ926" s="354"/>
      <c r="AR926" s="354"/>
      <c r="AS926" s="354"/>
      <c r="AT926" s="354"/>
      <c r="AU926" s="354"/>
      <c r="AV926" s="354"/>
      <c r="AW926" s="354"/>
    </row>
    <row r="927" spans="1:49">
      <c r="A927" s="354"/>
      <c r="B927" s="354"/>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c r="AA927" s="354"/>
      <c r="AB927" s="354"/>
      <c r="AC927" s="354"/>
      <c r="AD927" s="354"/>
      <c r="AE927" s="354"/>
      <c r="AF927" s="354"/>
      <c r="AG927" s="354"/>
      <c r="AH927" s="354"/>
      <c r="AI927" s="354"/>
      <c r="AJ927" s="354"/>
      <c r="AK927" s="354"/>
      <c r="AL927" s="354"/>
      <c r="AM927" s="354"/>
      <c r="AN927" s="354"/>
      <c r="AO927" s="354"/>
      <c r="AP927" s="354"/>
      <c r="AQ927" s="354"/>
      <c r="AR927" s="354"/>
      <c r="AS927" s="354"/>
      <c r="AT927" s="354"/>
      <c r="AU927" s="354"/>
      <c r="AV927" s="354"/>
      <c r="AW927" s="354"/>
    </row>
    <row r="928" spans="1:49">
      <c r="A928" s="354"/>
      <c r="B928" s="354"/>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c r="AA928" s="354"/>
      <c r="AB928" s="354"/>
      <c r="AC928" s="354"/>
      <c r="AD928" s="354"/>
      <c r="AE928" s="354"/>
      <c r="AF928" s="354"/>
      <c r="AG928" s="354"/>
      <c r="AH928" s="354"/>
      <c r="AI928" s="354"/>
      <c r="AJ928" s="354"/>
      <c r="AK928" s="354"/>
      <c r="AL928" s="354"/>
      <c r="AM928" s="354"/>
      <c r="AN928" s="354"/>
      <c r="AO928" s="354"/>
      <c r="AP928" s="354"/>
      <c r="AQ928" s="354"/>
      <c r="AR928" s="354"/>
      <c r="AS928" s="354"/>
      <c r="AT928" s="354"/>
      <c r="AU928" s="354"/>
      <c r="AV928" s="354"/>
      <c r="AW928" s="354"/>
    </row>
    <row r="929" spans="1:49">
      <c r="A929" s="354"/>
      <c r="B929" s="354"/>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c r="AA929" s="354"/>
      <c r="AB929" s="354"/>
      <c r="AC929" s="354"/>
      <c r="AD929" s="354"/>
      <c r="AE929" s="354"/>
      <c r="AF929" s="354"/>
      <c r="AG929" s="354"/>
      <c r="AH929" s="354"/>
      <c r="AI929" s="354"/>
      <c r="AJ929" s="354"/>
      <c r="AK929" s="354"/>
      <c r="AL929" s="354"/>
      <c r="AM929" s="354"/>
      <c r="AN929" s="354"/>
      <c r="AO929" s="354"/>
      <c r="AP929" s="354"/>
      <c r="AQ929" s="354"/>
      <c r="AR929" s="354"/>
      <c r="AS929" s="354"/>
      <c r="AT929" s="354"/>
      <c r="AU929" s="354"/>
      <c r="AV929" s="354"/>
      <c r="AW929" s="354"/>
    </row>
    <row r="930" spans="1:49">
      <c r="A930" s="354"/>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c r="AA930" s="354"/>
      <c r="AB930" s="354"/>
      <c r="AC930" s="354"/>
      <c r="AD930" s="354"/>
      <c r="AE930" s="354"/>
      <c r="AF930" s="354"/>
      <c r="AG930" s="354"/>
      <c r="AH930" s="354"/>
      <c r="AI930" s="354"/>
      <c r="AJ930" s="354"/>
      <c r="AK930" s="354"/>
      <c r="AL930" s="354"/>
      <c r="AM930" s="354"/>
      <c r="AN930" s="354"/>
      <c r="AO930" s="354"/>
      <c r="AP930" s="354"/>
      <c r="AQ930" s="354"/>
      <c r="AR930" s="354"/>
      <c r="AS930" s="354"/>
      <c r="AT930" s="354"/>
      <c r="AU930" s="354"/>
      <c r="AV930" s="354"/>
      <c r="AW930" s="354"/>
    </row>
    <row r="931" spans="1:49">
      <c r="A931" s="354"/>
      <c r="B931" s="354"/>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c r="AA931" s="354"/>
      <c r="AB931" s="354"/>
      <c r="AC931" s="354"/>
      <c r="AD931" s="354"/>
      <c r="AE931" s="354"/>
      <c r="AF931" s="354"/>
      <c r="AG931" s="354"/>
      <c r="AH931" s="354"/>
      <c r="AI931" s="354"/>
      <c r="AJ931" s="354"/>
      <c r="AK931" s="354"/>
      <c r="AL931" s="354"/>
      <c r="AM931" s="354"/>
      <c r="AN931" s="354"/>
      <c r="AO931" s="354"/>
      <c r="AP931" s="354"/>
      <c r="AQ931" s="354"/>
      <c r="AR931" s="354"/>
      <c r="AS931" s="354"/>
      <c r="AT931" s="354"/>
      <c r="AU931" s="354"/>
      <c r="AV931" s="354"/>
      <c r="AW931" s="354"/>
    </row>
    <row r="932" spans="1:49">
      <c r="A932" s="354"/>
      <c r="B932" s="354"/>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c r="AA932" s="354"/>
      <c r="AB932" s="354"/>
      <c r="AC932" s="354"/>
      <c r="AD932" s="354"/>
      <c r="AE932" s="354"/>
      <c r="AF932" s="354"/>
      <c r="AG932" s="354"/>
      <c r="AH932" s="354"/>
      <c r="AI932" s="354"/>
      <c r="AJ932" s="354"/>
      <c r="AK932" s="354"/>
      <c r="AL932" s="354"/>
      <c r="AM932" s="354"/>
      <c r="AN932" s="354"/>
      <c r="AO932" s="354"/>
      <c r="AP932" s="354"/>
      <c r="AQ932" s="354"/>
      <c r="AR932" s="354"/>
      <c r="AS932" s="354"/>
      <c r="AT932" s="354"/>
      <c r="AU932" s="354"/>
      <c r="AV932" s="354"/>
      <c r="AW932" s="354"/>
    </row>
    <row r="933" spans="1:49">
      <c r="A933" s="354"/>
      <c r="B933" s="354"/>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c r="AA933" s="354"/>
      <c r="AB933" s="354"/>
      <c r="AC933" s="354"/>
      <c r="AD933" s="354"/>
      <c r="AE933" s="354"/>
      <c r="AF933" s="354"/>
      <c r="AG933" s="354"/>
      <c r="AH933" s="354"/>
      <c r="AI933" s="354"/>
      <c r="AJ933" s="354"/>
      <c r="AK933" s="354"/>
      <c r="AL933" s="354"/>
      <c r="AM933" s="354"/>
      <c r="AN933" s="354"/>
      <c r="AO933" s="354"/>
      <c r="AP933" s="354"/>
      <c r="AQ933" s="354"/>
      <c r="AR933" s="354"/>
      <c r="AS933" s="354"/>
      <c r="AT933" s="354"/>
      <c r="AU933" s="354"/>
      <c r="AV933" s="354"/>
      <c r="AW933" s="354"/>
    </row>
    <row r="934" spans="1:49">
      <c r="A934" s="354"/>
      <c r="B934" s="354"/>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c r="AA934" s="354"/>
      <c r="AB934" s="354"/>
      <c r="AC934" s="354"/>
      <c r="AD934" s="354"/>
      <c r="AE934" s="354"/>
      <c r="AF934" s="354"/>
      <c r="AG934" s="354"/>
      <c r="AH934" s="354"/>
      <c r="AI934" s="354"/>
      <c r="AJ934" s="354"/>
      <c r="AK934" s="354"/>
      <c r="AL934" s="354"/>
      <c r="AM934" s="354"/>
      <c r="AN934" s="354"/>
      <c r="AO934" s="354"/>
      <c r="AP934" s="354"/>
      <c r="AQ934" s="354"/>
      <c r="AR934" s="354"/>
      <c r="AS934" s="354"/>
      <c r="AT934" s="354"/>
      <c r="AU934" s="354"/>
      <c r="AV934" s="354"/>
      <c r="AW934" s="354"/>
    </row>
    <row r="935" spans="1:49">
      <c r="A935" s="354"/>
      <c r="B935" s="354"/>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c r="AA935" s="354"/>
      <c r="AB935" s="354"/>
      <c r="AC935" s="354"/>
      <c r="AD935" s="354"/>
      <c r="AE935" s="354"/>
      <c r="AF935" s="354"/>
      <c r="AG935" s="354"/>
      <c r="AH935" s="354"/>
      <c r="AI935" s="354"/>
      <c r="AJ935" s="354"/>
      <c r="AK935" s="354"/>
      <c r="AL935" s="354"/>
      <c r="AM935" s="354"/>
      <c r="AN935" s="354"/>
      <c r="AO935" s="354"/>
      <c r="AP935" s="354"/>
      <c r="AQ935" s="354"/>
      <c r="AR935" s="354"/>
      <c r="AS935" s="354"/>
      <c r="AT935" s="354"/>
      <c r="AU935" s="354"/>
      <c r="AV935" s="354"/>
      <c r="AW935" s="354"/>
    </row>
    <row r="936" spans="1:49">
      <c r="A936" s="354"/>
      <c r="B936" s="354"/>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c r="AA936" s="354"/>
      <c r="AB936" s="354"/>
      <c r="AC936" s="354"/>
      <c r="AD936" s="354"/>
      <c r="AE936" s="354"/>
      <c r="AF936" s="354"/>
      <c r="AG936" s="354"/>
      <c r="AH936" s="354"/>
      <c r="AI936" s="354"/>
      <c r="AJ936" s="354"/>
      <c r="AK936" s="354"/>
      <c r="AL936" s="354"/>
      <c r="AM936" s="354"/>
      <c r="AN936" s="354"/>
      <c r="AO936" s="354"/>
      <c r="AP936" s="354"/>
      <c r="AQ936" s="354"/>
      <c r="AR936" s="354"/>
      <c r="AS936" s="354"/>
      <c r="AT936" s="354"/>
      <c r="AU936" s="354"/>
      <c r="AV936" s="354"/>
      <c r="AW936" s="354"/>
    </row>
    <row r="937" spans="1:49">
      <c r="A937" s="354"/>
      <c r="B937" s="354"/>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c r="AA937" s="354"/>
      <c r="AB937" s="354"/>
      <c r="AC937" s="354"/>
      <c r="AD937" s="354"/>
      <c r="AE937" s="354"/>
      <c r="AF937" s="354"/>
      <c r="AG937" s="354"/>
      <c r="AH937" s="354"/>
      <c r="AI937" s="354"/>
      <c r="AJ937" s="354"/>
      <c r="AK937" s="354"/>
      <c r="AL937" s="354"/>
      <c r="AM937" s="354"/>
      <c r="AN937" s="354"/>
      <c r="AO937" s="354"/>
      <c r="AP937" s="354"/>
      <c r="AQ937" s="354"/>
      <c r="AR937" s="354"/>
      <c r="AS937" s="354"/>
      <c r="AT937" s="354"/>
      <c r="AU937" s="354"/>
      <c r="AV937" s="354"/>
      <c r="AW937" s="354"/>
    </row>
    <row r="938" spans="1:49">
      <c r="A938" s="354"/>
      <c r="B938" s="354"/>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54"/>
      <c r="AE938" s="354"/>
      <c r="AF938" s="354"/>
      <c r="AG938" s="354"/>
      <c r="AH938" s="354"/>
      <c r="AI938" s="354"/>
      <c r="AJ938" s="354"/>
      <c r="AK938" s="354"/>
      <c r="AL938" s="354"/>
      <c r="AM938" s="354"/>
      <c r="AN938" s="354"/>
      <c r="AO938" s="354"/>
      <c r="AP938" s="354"/>
      <c r="AQ938" s="354"/>
      <c r="AR938" s="354"/>
      <c r="AS938" s="354"/>
      <c r="AT938" s="354"/>
      <c r="AU938" s="354"/>
      <c r="AV938" s="354"/>
      <c r="AW938" s="354"/>
    </row>
    <row r="939" spans="1:49">
      <c r="A939" s="354"/>
      <c r="B939" s="354"/>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c r="AA939" s="354"/>
      <c r="AB939" s="354"/>
      <c r="AC939" s="354"/>
      <c r="AD939" s="354"/>
      <c r="AE939" s="354"/>
      <c r="AF939" s="354"/>
      <c r="AG939" s="354"/>
      <c r="AH939" s="354"/>
      <c r="AI939" s="354"/>
      <c r="AJ939" s="354"/>
      <c r="AK939" s="354"/>
      <c r="AL939" s="354"/>
      <c r="AM939" s="354"/>
      <c r="AN939" s="354"/>
      <c r="AO939" s="354"/>
      <c r="AP939" s="354"/>
      <c r="AQ939" s="354"/>
      <c r="AR939" s="354"/>
      <c r="AS939" s="354"/>
      <c r="AT939" s="354"/>
      <c r="AU939" s="354"/>
      <c r="AV939" s="354"/>
      <c r="AW939" s="354"/>
    </row>
    <row r="940" spans="1:49">
      <c r="A940" s="354"/>
      <c r="B940" s="354"/>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c r="AA940" s="354"/>
      <c r="AB940" s="354"/>
      <c r="AC940" s="354"/>
      <c r="AD940" s="354"/>
      <c r="AE940" s="354"/>
      <c r="AF940" s="354"/>
      <c r="AG940" s="354"/>
      <c r="AH940" s="354"/>
      <c r="AI940" s="354"/>
      <c r="AJ940" s="354"/>
      <c r="AK940" s="354"/>
      <c r="AL940" s="354"/>
      <c r="AM940" s="354"/>
      <c r="AN940" s="354"/>
      <c r="AO940" s="354"/>
      <c r="AP940" s="354"/>
      <c r="AQ940" s="354"/>
      <c r="AR940" s="354"/>
      <c r="AS940" s="354"/>
      <c r="AT940" s="354"/>
      <c r="AU940" s="354"/>
      <c r="AV940" s="354"/>
      <c r="AW940" s="354"/>
    </row>
    <row r="941" spans="1:49">
      <c r="A941" s="354"/>
      <c r="B941" s="354"/>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c r="AA941" s="354"/>
      <c r="AB941" s="354"/>
      <c r="AC941" s="354"/>
      <c r="AD941" s="354"/>
      <c r="AE941" s="354"/>
      <c r="AF941" s="354"/>
      <c r="AG941" s="354"/>
      <c r="AH941" s="354"/>
      <c r="AI941" s="354"/>
      <c r="AJ941" s="354"/>
      <c r="AK941" s="354"/>
      <c r="AL941" s="354"/>
      <c r="AM941" s="354"/>
      <c r="AN941" s="354"/>
      <c r="AO941" s="354"/>
      <c r="AP941" s="354"/>
      <c r="AQ941" s="354"/>
      <c r="AR941" s="354"/>
      <c r="AS941" s="354"/>
      <c r="AT941" s="354"/>
      <c r="AU941" s="354"/>
      <c r="AV941" s="354"/>
      <c r="AW941" s="354"/>
    </row>
    <row r="942" spans="1:49">
      <c r="A942" s="354"/>
      <c r="B942" s="354"/>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c r="AA942" s="354"/>
      <c r="AB942" s="354"/>
      <c r="AC942" s="354"/>
      <c r="AD942" s="354"/>
      <c r="AE942" s="354"/>
      <c r="AF942" s="354"/>
      <c r="AG942" s="354"/>
      <c r="AH942" s="354"/>
      <c r="AI942" s="354"/>
      <c r="AJ942" s="354"/>
      <c r="AK942" s="354"/>
      <c r="AL942" s="354"/>
      <c r="AM942" s="354"/>
      <c r="AN942" s="354"/>
      <c r="AO942" s="354"/>
      <c r="AP942" s="354"/>
      <c r="AQ942" s="354"/>
      <c r="AR942" s="354"/>
      <c r="AS942" s="354"/>
      <c r="AT942" s="354"/>
      <c r="AU942" s="354"/>
      <c r="AV942" s="354"/>
      <c r="AW942" s="354"/>
    </row>
    <row r="943" spans="1:49">
      <c r="A943" s="354"/>
      <c r="B943" s="354"/>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c r="AA943" s="354"/>
      <c r="AB943" s="354"/>
      <c r="AC943" s="354"/>
      <c r="AD943" s="354"/>
      <c r="AE943" s="354"/>
      <c r="AF943" s="354"/>
      <c r="AG943" s="354"/>
      <c r="AH943" s="354"/>
      <c r="AI943" s="354"/>
      <c r="AJ943" s="354"/>
      <c r="AK943" s="354"/>
      <c r="AL943" s="354"/>
      <c r="AM943" s="354"/>
      <c r="AN943" s="354"/>
      <c r="AO943" s="354"/>
      <c r="AP943" s="354"/>
      <c r="AQ943" s="354"/>
      <c r="AR943" s="354"/>
      <c r="AS943" s="354"/>
      <c r="AT943" s="354"/>
      <c r="AU943" s="354"/>
      <c r="AV943" s="354"/>
      <c r="AW943" s="354"/>
    </row>
    <row r="944" spans="1:49">
      <c r="A944" s="354"/>
      <c r="B944" s="354"/>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c r="AA944" s="354"/>
      <c r="AB944" s="354"/>
      <c r="AC944" s="354"/>
      <c r="AD944" s="354"/>
      <c r="AE944" s="354"/>
      <c r="AF944" s="354"/>
      <c r="AG944" s="354"/>
      <c r="AH944" s="354"/>
      <c r="AI944" s="354"/>
      <c r="AJ944" s="354"/>
      <c r="AK944" s="354"/>
      <c r="AL944" s="354"/>
      <c r="AM944" s="354"/>
      <c r="AN944" s="354"/>
      <c r="AO944" s="354"/>
      <c r="AP944" s="354"/>
      <c r="AQ944" s="354"/>
      <c r="AR944" s="354"/>
      <c r="AS944" s="354"/>
      <c r="AT944" s="354"/>
      <c r="AU944" s="354"/>
      <c r="AV944" s="354"/>
      <c r="AW944" s="354"/>
    </row>
    <row r="945" spans="1:49">
      <c r="A945" s="354"/>
      <c r="B945" s="354"/>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c r="AA945" s="354"/>
      <c r="AB945" s="354"/>
      <c r="AC945" s="354"/>
      <c r="AD945" s="354"/>
      <c r="AE945" s="354"/>
      <c r="AF945" s="354"/>
      <c r="AG945" s="354"/>
      <c r="AH945" s="354"/>
      <c r="AI945" s="354"/>
      <c r="AJ945" s="354"/>
      <c r="AK945" s="354"/>
      <c r="AL945" s="354"/>
      <c r="AM945" s="354"/>
      <c r="AN945" s="354"/>
      <c r="AO945" s="354"/>
      <c r="AP945" s="354"/>
      <c r="AQ945" s="354"/>
      <c r="AR945" s="354"/>
      <c r="AS945" s="354"/>
      <c r="AT945" s="354"/>
      <c r="AU945" s="354"/>
      <c r="AV945" s="354"/>
      <c r="AW945" s="354"/>
    </row>
    <row r="946" spans="1:49">
      <c r="A946" s="354"/>
      <c r="B946" s="354"/>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c r="AA946" s="354"/>
      <c r="AB946" s="354"/>
      <c r="AC946" s="354"/>
      <c r="AD946" s="354"/>
      <c r="AE946" s="354"/>
      <c r="AF946" s="354"/>
      <c r="AG946" s="354"/>
      <c r="AH946" s="354"/>
      <c r="AI946" s="354"/>
      <c r="AJ946" s="354"/>
      <c r="AK946" s="354"/>
      <c r="AL946" s="354"/>
      <c r="AM946" s="354"/>
      <c r="AN946" s="354"/>
      <c r="AO946" s="354"/>
      <c r="AP946" s="354"/>
      <c r="AQ946" s="354"/>
      <c r="AR946" s="354"/>
      <c r="AS946" s="354"/>
      <c r="AT946" s="354"/>
      <c r="AU946" s="354"/>
      <c r="AV946" s="354"/>
      <c r="AW946" s="354"/>
    </row>
    <row r="947" spans="1:49">
      <c r="A947" s="354"/>
      <c r="B947" s="354"/>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c r="AA947" s="354"/>
      <c r="AB947" s="354"/>
      <c r="AC947" s="354"/>
      <c r="AD947" s="354"/>
      <c r="AE947" s="354"/>
      <c r="AF947" s="354"/>
      <c r="AG947" s="354"/>
      <c r="AH947" s="354"/>
      <c r="AI947" s="354"/>
      <c r="AJ947" s="354"/>
      <c r="AK947" s="354"/>
      <c r="AL947" s="354"/>
      <c r="AM947" s="354"/>
      <c r="AN947" s="354"/>
      <c r="AO947" s="354"/>
      <c r="AP947" s="354"/>
      <c r="AQ947" s="354"/>
      <c r="AR947" s="354"/>
      <c r="AS947" s="354"/>
      <c r="AT947" s="354"/>
      <c r="AU947" s="354"/>
      <c r="AV947" s="354"/>
      <c r="AW947" s="354"/>
    </row>
    <row r="948" spans="1:49">
      <c r="A948" s="354"/>
      <c r="B948" s="354"/>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c r="AA948" s="354"/>
      <c r="AB948" s="354"/>
      <c r="AC948" s="354"/>
      <c r="AD948" s="354"/>
      <c r="AE948" s="354"/>
      <c r="AF948" s="354"/>
      <c r="AG948" s="354"/>
      <c r="AH948" s="354"/>
      <c r="AI948" s="354"/>
      <c r="AJ948" s="354"/>
      <c r="AK948" s="354"/>
      <c r="AL948" s="354"/>
      <c r="AM948" s="354"/>
      <c r="AN948" s="354"/>
      <c r="AO948" s="354"/>
      <c r="AP948" s="354"/>
      <c r="AQ948" s="354"/>
      <c r="AR948" s="354"/>
      <c r="AS948" s="354"/>
      <c r="AT948" s="354"/>
      <c r="AU948" s="354"/>
      <c r="AV948" s="354"/>
      <c r="AW948" s="354"/>
    </row>
    <row r="949" spans="1:49">
      <c r="A949" s="354"/>
      <c r="B949" s="354"/>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c r="AA949" s="354"/>
      <c r="AB949" s="354"/>
      <c r="AC949" s="354"/>
      <c r="AD949" s="354"/>
      <c r="AE949" s="354"/>
      <c r="AF949" s="354"/>
      <c r="AG949" s="354"/>
      <c r="AH949" s="354"/>
      <c r="AI949" s="354"/>
      <c r="AJ949" s="354"/>
      <c r="AK949" s="354"/>
      <c r="AL949" s="354"/>
      <c r="AM949" s="354"/>
      <c r="AN949" s="354"/>
      <c r="AO949" s="354"/>
      <c r="AP949" s="354"/>
      <c r="AQ949" s="354"/>
      <c r="AR949" s="354"/>
      <c r="AS949" s="354"/>
      <c r="AT949" s="354"/>
      <c r="AU949" s="354"/>
      <c r="AV949" s="354"/>
      <c r="AW949" s="354"/>
    </row>
    <row r="950" spans="1:49">
      <c r="A950" s="354"/>
      <c r="B950" s="354"/>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c r="AA950" s="354"/>
      <c r="AB950" s="354"/>
      <c r="AC950" s="354"/>
      <c r="AD950" s="354"/>
      <c r="AE950" s="354"/>
      <c r="AF950" s="354"/>
      <c r="AG950" s="354"/>
      <c r="AH950" s="354"/>
      <c r="AI950" s="354"/>
      <c r="AJ950" s="354"/>
      <c r="AK950" s="354"/>
      <c r="AL950" s="354"/>
      <c r="AM950" s="354"/>
      <c r="AN950" s="354"/>
      <c r="AO950" s="354"/>
      <c r="AP950" s="354"/>
      <c r="AQ950" s="354"/>
      <c r="AR950" s="354"/>
      <c r="AS950" s="354"/>
      <c r="AT950" s="354"/>
      <c r="AU950" s="354"/>
      <c r="AV950" s="354"/>
      <c r="AW950" s="354"/>
    </row>
    <row r="951" spans="1:49">
      <c r="A951" s="354"/>
      <c r="B951" s="354"/>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c r="AA951" s="354"/>
      <c r="AB951" s="354"/>
      <c r="AC951" s="354"/>
      <c r="AD951" s="354"/>
      <c r="AE951" s="354"/>
      <c r="AF951" s="354"/>
      <c r="AG951" s="354"/>
      <c r="AH951" s="354"/>
      <c r="AI951" s="354"/>
      <c r="AJ951" s="354"/>
      <c r="AK951" s="354"/>
      <c r="AL951" s="354"/>
      <c r="AM951" s="354"/>
      <c r="AN951" s="354"/>
      <c r="AO951" s="354"/>
      <c r="AP951" s="354"/>
      <c r="AQ951" s="354"/>
      <c r="AR951" s="354"/>
      <c r="AS951" s="354"/>
      <c r="AT951" s="354"/>
      <c r="AU951" s="354"/>
      <c r="AV951" s="354"/>
      <c r="AW951" s="354"/>
    </row>
    <row r="952" spans="1:49">
      <c r="A952" s="354"/>
      <c r="B952" s="354"/>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c r="AA952" s="354"/>
      <c r="AB952" s="354"/>
      <c r="AC952" s="354"/>
      <c r="AD952" s="354"/>
      <c r="AE952" s="354"/>
      <c r="AF952" s="354"/>
      <c r="AG952" s="354"/>
      <c r="AH952" s="354"/>
      <c r="AI952" s="354"/>
      <c r="AJ952" s="354"/>
      <c r="AK952" s="354"/>
      <c r="AL952" s="354"/>
      <c r="AM952" s="354"/>
      <c r="AN952" s="354"/>
      <c r="AO952" s="354"/>
      <c r="AP952" s="354"/>
      <c r="AQ952" s="354"/>
      <c r="AR952" s="354"/>
      <c r="AS952" s="354"/>
      <c r="AT952" s="354"/>
      <c r="AU952" s="354"/>
      <c r="AV952" s="354"/>
      <c r="AW952" s="354"/>
    </row>
    <row r="953" spans="1:49">
      <c r="A953" s="354"/>
      <c r="B953" s="354"/>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c r="AA953" s="354"/>
      <c r="AB953" s="354"/>
      <c r="AC953" s="354"/>
      <c r="AD953" s="354"/>
      <c r="AE953" s="354"/>
      <c r="AF953" s="354"/>
      <c r="AG953" s="354"/>
      <c r="AH953" s="354"/>
      <c r="AI953" s="354"/>
      <c r="AJ953" s="354"/>
      <c r="AK953" s="354"/>
      <c r="AL953" s="354"/>
      <c r="AM953" s="354"/>
      <c r="AN953" s="354"/>
      <c r="AO953" s="354"/>
      <c r="AP953" s="354"/>
      <c r="AQ953" s="354"/>
      <c r="AR953" s="354"/>
      <c r="AS953" s="354"/>
      <c r="AT953" s="354"/>
      <c r="AU953" s="354"/>
      <c r="AV953" s="354"/>
      <c r="AW953" s="354"/>
    </row>
    <row r="954" spans="1:49">
      <c r="A954" s="354"/>
      <c r="B954" s="354"/>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c r="AA954" s="354"/>
      <c r="AB954" s="354"/>
      <c r="AC954" s="354"/>
      <c r="AD954" s="354"/>
      <c r="AE954" s="354"/>
      <c r="AF954" s="354"/>
      <c r="AG954" s="354"/>
      <c r="AH954" s="354"/>
      <c r="AI954" s="354"/>
      <c r="AJ954" s="354"/>
      <c r="AK954" s="354"/>
      <c r="AL954" s="354"/>
      <c r="AM954" s="354"/>
      <c r="AN954" s="354"/>
      <c r="AO954" s="354"/>
      <c r="AP954" s="354"/>
      <c r="AQ954" s="354"/>
      <c r="AR954" s="354"/>
      <c r="AS954" s="354"/>
      <c r="AT954" s="354"/>
      <c r="AU954" s="354"/>
      <c r="AV954" s="354"/>
      <c r="AW954" s="354"/>
    </row>
    <row r="955" spans="1:49">
      <c r="A955" s="354"/>
      <c r="B955" s="354"/>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c r="AA955" s="354"/>
      <c r="AB955" s="354"/>
      <c r="AC955" s="354"/>
      <c r="AD955" s="354"/>
      <c r="AE955" s="354"/>
      <c r="AF955" s="354"/>
      <c r="AG955" s="354"/>
      <c r="AH955" s="354"/>
      <c r="AI955" s="354"/>
      <c r="AJ955" s="354"/>
      <c r="AK955" s="354"/>
      <c r="AL955" s="354"/>
      <c r="AM955" s="354"/>
      <c r="AN955" s="354"/>
      <c r="AO955" s="354"/>
      <c r="AP955" s="354"/>
      <c r="AQ955" s="354"/>
      <c r="AR955" s="354"/>
      <c r="AS955" s="354"/>
      <c r="AT955" s="354"/>
      <c r="AU955" s="354"/>
      <c r="AV955" s="354"/>
      <c r="AW955" s="354"/>
    </row>
    <row r="956" spans="1:49">
      <c r="A956" s="354"/>
      <c r="B956" s="354"/>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c r="AA956" s="354"/>
      <c r="AB956" s="354"/>
      <c r="AC956" s="354"/>
      <c r="AD956" s="354"/>
      <c r="AE956" s="354"/>
      <c r="AF956" s="354"/>
      <c r="AG956" s="354"/>
      <c r="AH956" s="354"/>
      <c r="AI956" s="354"/>
      <c r="AJ956" s="354"/>
      <c r="AK956" s="354"/>
      <c r="AL956" s="354"/>
      <c r="AM956" s="354"/>
      <c r="AN956" s="354"/>
      <c r="AO956" s="354"/>
      <c r="AP956" s="354"/>
      <c r="AQ956" s="354"/>
      <c r="AR956" s="354"/>
      <c r="AS956" s="354"/>
      <c r="AT956" s="354"/>
      <c r="AU956" s="354"/>
      <c r="AV956" s="354"/>
      <c r="AW956" s="354"/>
    </row>
    <row r="957" spans="1:49">
      <c r="A957" s="354"/>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54"/>
      <c r="AE957" s="354"/>
      <c r="AF957" s="354"/>
      <c r="AG957" s="354"/>
      <c r="AH957" s="354"/>
      <c r="AI957" s="354"/>
      <c r="AJ957" s="354"/>
      <c r="AK957" s="354"/>
      <c r="AL957" s="354"/>
      <c r="AM957" s="354"/>
      <c r="AN957" s="354"/>
      <c r="AO957" s="354"/>
      <c r="AP957" s="354"/>
      <c r="AQ957" s="354"/>
      <c r="AR957" s="354"/>
      <c r="AS957" s="354"/>
      <c r="AT957" s="354"/>
      <c r="AU957" s="354"/>
      <c r="AV957" s="354"/>
      <c r="AW957" s="354"/>
    </row>
    <row r="958" spans="1:49">
      <c r="A958" s="354"/>
      <c r="B958" s="354"/>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54"/>
      <c r="AE958" s="354"/>
      <c r="AF958" s="354"/>
      <c r="AG958" s="354"/>
      <c r="AH958" s="354"/>
      <c r="AI958" s="354"/>
      <c r="AJ958" s="354"/>
      <c r="AK958" s="354"/>
      <c r="AL958" s="354"/>
      <c r="AM958" s="354"/>
      <c r="AN958" s="354"/>
      <c r="AO958" s="354"/>
      <c r="AP958" s="354"/>
      <c r="AQ958" s="354"/>
      <c r="AR958" s="354"/>
      <c r="AS958" s="354"/>
      <c r="AT958" s="354"/>
      <c r="AU958" s="354"/>
      <c r="AV958" s="354"/>
      <c r="AW958" s="354"/>
    </row>
    <row r="959" spans="1:49">
      <c r="A959" s="354"/>
      <c r="B959" s="354"/>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c r="AA959" s="354"/>
      <c r="AB959" s="354"/>
      <c r="AC959" s="354"/>
      <c r="AD959" s="354"/>
      <c r="AE959" s="354"/>
      <c r="AF959" s="354"/>
      <c r="AG959" s="354"/>
      <c r="AH959" s="354"/>
      <c r="AI959" s="354"/>
      <c r="AJ959" s="354"/>
      <c r="AK959" s="354"/>
      <c r="AL959" s="354"/>
      <c r="AM959" s="354"/>
      <c r="AN959" s="354"/>
      <c r="AO959" s="354"/>
      <c r="AP959" s="354"/>
      <c r="AQ959" s="354"/>
      <c r="AR959" s="354"/>
      <c r="AS959" s="354"/>
      <c r="AT959" s="354"/>
      <c r="AU959" s="354"/>
      <c r="AV959" s="354"/>
      <c r="AW959" s="354"/>
    </row>
    <row r="960" spans="1:49">
      <c r="A960" s="354"/>
      <c r="B960" s="354"/>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c r="AA960" s="354"/>
      <c r="AB960" s="354"/>
      <c r="AC960" s="354"/>
      <c r="AD960" s="354"/>
      <c r="AE960" s="354"/>
      <c r="AF960" s="354"/>
      <c r="AG960" s="354"/>
      <c r="AH960" s="354"/>
      <c r="AI960" s="354"/>
      <c r="AJ960" s="354"/>
      <c r="AK960" s="354"/>
      <c r="AL960" s="354"/>
      <c r="AM960" s="354"/>
      <c r="AN960" s="354"/>
      <c r="AO960" s="354"/>
      <c r="AP960" s="354"/>
      <c r="AQ960" s="354"/>
      <c r="AR960" s="354"/>
      <c r="AS960" s="354"/>
      <c r="AT960" s="354"/>
      <c r="AU960" s="354"/>
      <c r="AV960" s="354"/>
      <c r="AW960" s="354"/>
    </row>
    <row r="961" spans="1:49">
      <c r="A961" s="354"/>
      <c r="B961" s="354"/>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c r="AA961" s="354"/>
      <c r="AB961" s="354"/>
      <c r="AC961" s="354"/>
      <c r="AD961" s="354"/>
      <c r="AE961" s="354"/>
      <c r="AF961" s="354"/>
      <c r="AG961" s="354"/>
      <c r="AH961" s="354"/>
      <c r="AI961" s="354"/>
      <c r="AJ961" s="354"/>
      <c r="AK961" s="354"/>
      <c r="AL961" s="354"/>
      <c r="AM961" s="354"/>
      <c r="AN961" s="354"/>
      <c r="AO961" s="354"/>
      <c r="AP961" s="354"/>
      <c r="AQ961" s="354"/>
      <c r="AR961" s="354"/>
      <c r="AS961" s="354"/>
      <c r="AT961" s="354"/>
      <c r="AU961" s="354"/>
      <c r="AV961" s="354"/>
      <c r="AW961" s="354"/>
    </row>
    <row r="962" spans="1:49">
      <c r="A962" s="354"/>
      <c r="B962" s="354"/>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c r="AA962" s="354"/>
      <c r="AB962" s="354"/>
      <c r="AC962" s="354"/>
      <c r="AD962" s="354"/>
      <c r="AE962" s="354"/>
      <c r="AF962" s="354"/>
      <c r="AG962" s="354"/>
      <c r="AH962" s="354"/>
      <c r="AI962" s="354"/>
      <c r="AJ962" s="354"/>
      <c r="AK962" s="354"/>
      <c r="AL962" s="354"/>
      <c r="AM962" s="354"/>
      <c r="AN962" s="354"/>
      <c r="AO962" s="354"/>
      <c r="AP962" s="354"/>
      <c r="AQ962" s="354"/>
      <c r="AR962" s="354"/>
      <c r="AS962" s="354"/>
      <c r="AT962" s="354"/>
      <c r="AU962" s="354"/>
      <c r="AV962" s="354"/>
      <c r="AW962" s="354"/>
    </row>
    <row r="963" spans="1:49">
      <c r="A963" s="354"/>
      <c r="B963" s="354"/>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c r="AA963" s="354"/>
      <c r="AB963" s="354"/>
      <c r="AC963" s="354"/>
      <c r="AD963" s="354"/>
      <c r="AE963" s="354"/>
      <c r="AF963" s="354"/>
      <c r="AG963" s="354"/>
      <c r="AH963" s="354"/>
      <c r="AI963" s="354"/>
      <c r="AJ963" s="354"/>
      <c r="AK963" s="354"/>
      <c r="AL963" s="354"/>
      <c r="AM963" s="354"/>
      <c r="AN963" s="354"/>
      <c r="AO963" s="354"/>
      <c r="AP963" s="354"/>
      <c r="AQ963" s="354"/>
      <c r="AR963" s="354"/>
      <c r="AS963" s="354"/>
      <c r="AT963" s="354"/>
      <c r="AU963" s="354"/>
      <c r="AV963" s="354"/>
      <c r="AW963" s="354"/>
    </row>
    <row r="964" spans="1:49">
      <c r="A964" s="354"/>
      <c r="B964" s="354"/>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c r="AA964" s="354"/>
      <c r="AB964" s="354"/>
      <c r="AC964" s="354"/>
      <c r="AD964" s="354"/>
      <c r="AE964" s="354"/>
      <c r="AF964" s="354"/>
      <c r="AG964" s="354"/>
      <c r="AH964" s="354"/>
      <c r="AI964" s="354"/>
      <c r="AJ964" s="354"/>
      <c r="AK964" s="354"/>
      <c r="AL964" s="354"/>
      <c r="AM964" s="354"/>
      <c r="AN964" s="354"/>
      <c r="AO964" s="354"/>
      <c r="AP964" s="354"/>
      <c r="AQ964" s="354"/>
      <c r="AR964" s="354"/>
      <c r="AS964" s="354"/>
      <c r="AT964" s="354"/>
      <c r="AU964" s="354"/>
      <c r="AV964" s="354"/>
      <c r="AW964" s="354"/>
    </row>
    <row r="965" spans="1:49">
      <c r="A965" s="354"/>
      <c r="B965" s="354"/>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c r="AA965" s="354"/>
      <c r="AB965" s="354"/>
      <c r="AC965" s="354"/>
      <c r="AD965" s="354"/>
      <c r="AE965" s="354"/>
      <c r="AF965" s="354"/>
      <c r="AG965" s="354"/>
      <c r="AH965" s="354"/>
      <c r="AI965" s="354"/>
      <c r="AJ965" s="354"/>
      <c r="AK965" s="354"/>
      <c r="AL965" s="354"/>
      <c r="AM965" s="354"/>
      <c r="AN965" s="354"/>
      <c r="AO965" s="354"/>
      <c r="AP965" s="354"/>
      <c r="AQ965" s="354"/>
      <c r="AR965" s="354"/>
      <c r="AS965" s="354"/>
      <c r="AT965" s="354"/>
      <c r="AU965" s="354"/>
      <c r="AV965" s="354"/>
      <c r="AW965" s="354"/>
    </row>
    <row r="966" spans="1:49">
      <c r="A966" s="354"/>
      <c r="B966" s="354"/>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c r="AA966" s="354"/>
      <c r="AB966" s="354"/>
      <c r="AC966" s="354"/>
      <c r="AD966" s="354"/>
      <c r="AE966" s="354"/>
      <c r="AF966" s="354"/>
      <c r="AG966" s="354"/>
      <c r="AH966" s="354"/>
      <c r="AI966" s="354"/>
      <c r="AJ966" s="354"/>
      <c r="AK966" s="354"/>
      <c r="AL966" s="354"/>
      <c r="AM966" s="354"/>
      <c r="AN966" s="354"/>
      <c r="AO966" s="354"/>
      <c r="AP966" s="354"/>
      <c r="AQ966" s="354"/>
      <c r="AR966" s="354"/>
      <c r="AS966" s="354"/>
      <c r="AT966" s="354"/>
      <c r="AU966" s="354"/>
      <c r="AV966" s="354"/>
      <c r="AW966" s="354"/>
    </row>
    <row r="967" spans="1:49">
      <c r="A967" s="354"/>
      <c r="B967" s="354"/>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c r="AA967" s="354"/>
      <c r="AB967" s="354"/>
      <c r="AC967" s="354"/>
      <c r="AD967" s="354"/>
      <c r="AE967" s="354"/>
      <c r="AF967" s="354"/>
      <c r="AG967" s="354"/>
      <c r="AH967" s="354"/>
      <c r="AI967" s="354"/>
      <c r="AJ967" s="354"/>
      <c r="AK967" s="354"/>
      <c r="AL967" s="354"/>
      <c r="AM967" s="354"/>
      <c r="AN967" s="354"/>
      <c r="AO967" s="354"/>
      <c r="AP967" s="354"/>
      <c r="AQ967" s="354"/>
      <c r="AR967" s="354"/>
      <c r="AS967" s="354"/>
      <c r="AT967" s="354"/>
      <c r="AU967" s="354"/>
      <c r="AV967" s="354"/>
      <c r="AW967" s="354"/>
    </row>
    <row r="968" spans="1:49">
      <c r="A968" s="354"/>
      <c r="B968" s="354"/>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54"/>
      <c r="AE968" s="354"/>
      <c r="AF968" s="354"/>
      <c r="AG968" s="354"/>
      <c r="AH968" s="354"/>
      <c r="AI968" s="354"/>
      <c r="AJ968" s="354"/>
      <c r="AK968" s="354"/>
      <c r="AL968" s="354"/>
      <c r="AM968" s="354"/>
      <c r="AN968" s="354"/>
      <c r="AO968" s="354"/>
      <c r="AP968" s="354"/>
      <c r="AQ968" s="354"/>
      <c r="AR968" s="354"/>
      <c r="AS968" s="354"/>
      <c r="AT968" s="354"/>
      <c r="AU968" s="354"/>
      <c r="AV968" s="354"/>
      <c r="AW968" s="354"/>
    </row>
    <row r="969" spans="1:49">
      <c r="A969" s="354"/>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c r="AA969" s="354"/>
      <c r="AB969" s="354"/>
      <c r="AC969" s="354"/>
      <c r="AD969" s="354"/>
      <c r="AE969" s="354"/>
      <c r="AF969" s="354"/>
      <c r="AG969" s="354"/>
      <c r="AH969" s="354"/>
      <c r="AI969" s="354"/>
      <c r="AJ969" s="354"/>
      <c r="AK969" s="354"/>
      <c r="AL969" s="354"/>
      <c r="AM969" s="354"/>
      <c r="AN969" s="354"/>
      <c r="AO969" s="354"/>
      <c r="AP969" s="354"/>
      <c r="AQ969" s="354"/>
      <c r="AR969" s="354"/>
      <c r="AS969" s="354"/>
      <c r="AT969" s="354"/>
      <c r="AU969" s="354"/>
      <c r="AV969" s="354"/>
      <c r="AW969" s="354"/>
    </row>
    <row r="970" spans="1:49">
      <c r="A970" s="354"/>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c r="AA970" s="354"/>
      <c r="AB970" s="354"/>
      <c r="AC970" s="354"/>
      <c r="AD970" s="354"/>
      <c r="AE970" s="354"/>
      <c r="AF970" s="354"/>
      <c r="AG970" s="354"/>
      <c r="AH970" s="354"/>
      <c r="AI970" s="354"/>
      <c r="AJ970" s="354"/>
      <c r="AK970" s="354"/>
      <c r="AL970" s="354"/>
      <c r="AM970" s="354"/>
      <c r="AN970" s="354"/>
      <c r="AO970" s="354"/>
      <c r="AP970" s="354"/>
      <c r="AQ970" s="354"/>
      <c r="AR970" s="354"/>
      <c r="AS970" s="354"/>
      <c r="AT970" s="354"/>
      <c r="AU970" s="354"/>
      <c r="AV970" s="354"/>
      <c r="AW970" s="354"/>
    </row>
    <row r="971" spans="1:49">
      <c r="A971" s="354"/>
      <c r="B971" s="354"/>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c r="AA971" s="354"/>
      <c r="AB971" s="354"/>
      <c r="AC971" s="354"/>
      <c r="AD971" s="354"/>
      <c r="AE971" s="354"/>
      <c r="AF971" s="354"/>
      <c r="AG971" s="354"/>
      <c r="AH971" s="354"/>
      <c r="AI971" s="354"/>
      <c r="AJ971" s="354"/>
      <c r="AK971" s="354"/>
      <c r="AL971" s="354"/>
      <c r="AM971" s="354"/>
      <c r="AN971" s="354"/>
      <c r="AO971" s="354"/>
      <c r="AP971" s="354"/>
      <c r="AQ971" s="354"/>
      <c r="AR971" s="354"/>
      <c r="AS971" s="354"/>
      <c r="AT971" s="354"/>
      <c r="AU971" s="354"/>
      <c r="AV971" s="354"/>
      <c r="AW971" s="354"/>
    </row>
    <row r="972" spans="1:49">
      <c r="A972" s="354"/>
      <c r="B972" s="354"/>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c r="AA972" s="354"/>
      <c r="AB972" s="354"/>
      <c r="AC972" s="354"/>
      <c r="AD972" s="354"/>
      <c r="AE972" s="354"/>
      <c r="AF972" s="354"/>
      <c r="AG972" s="354"/>
      <c r="AH972" s="354"/>
      <c r="AI972" s="354"/>
      <c r="AJ972" s="354"/>
      <c r="AK972" s="354"/>
      <c r="AL972" s="354"/>
      <c r="AM972" s="354"/>
      <c r="AN972" s="354"/>
      <c r="AO972" s="354"/>
      <c r="AP972" s="354"/>
      <c r="AQ972" s="354"/>
      <c r="AR972" s="354"/>
      <c r="AS972" s="354"/>
      <c r="AT972" s="354"/>
      <c r="AU972" s="354"/>
      <c r="AV972" s="354"/>
      <c r="AW972" s="354"/>
    </row>
    <row r="973" spans="1:49">
      <c r="A973" s="354"/>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c r="AA973" s="354"/>
      <c r="AB973" s="354"/>
      <c r="AC973" s="354"/>
      <c r="AD973" s="354"/>
      <c r="AE973" s="354"/>
      <c r="AF973" s="354"/>
      <c r="AG973" s="354"/>
      <c r="AH973" s="354"/>
      <c r="AI973" s="354"/>
      <c r="AJ973" s="354"/>
      <c r="AK973" s="354"/>
      <c r="AL973" s="354"/>
      <c r="AM973" s="354"/>
      <c r="AN973" s="354"/>
      <c r="AO973" s="354"/>
      <c r="AP973" s="354"/>
      <c r="AQ973" s="354"/>
      <c r="AR973" s="354"/>
      <c r="AS973" s="354"/>
      <c r="AT973" s="354"/>
      <c r="AU973" s="354"/>
      <c r="AV973" s="354"/>
      <c r="AW973" s="354"/>
    </row>
    <row r="974" spans="1:49">
      <c r="A974" s="354"/>
      <c r="B974" s="354"/>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c r="AA974" s="354"/>
      <c r="AB974" s="354"/>
      <c r="AC974" s="354"/>
      <c r="AD974" s="354"/>
      <c r="AE974" s="354"/>
      <c r="AF974" s="354"/>
      <c r="AG974" s="354"/>
      <c r="AH974" s="354"/>
      <c r="AI974" s="354"/>
      <c r="AJ974" s="354"/>
      <c r="AK974" s="354"/>
      <c r="AL974" s="354"/>
      <c r="AM974" s="354"/>
      <c r="AN974" s="354"/>
      <c r="AO974" s="354"/>
      <c r="AP974" s="354"/>
      <c r="AQ974" s="354"/>
      <c r="AR974" s="354"/>
      <c r="AS974" s="354"/>
      <c r="AT974" s="354"/>
      <c r="AU974" s="354"/>
      <c r="AV974" s="354"/>
      <c r="AW974" s="354"/>
    </row>
    <row r="975" spans="1:49">
      <c r="A975" s="354"/>
      <c r="B975" s="354"/>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c r="AA975" s="354"/>
      <c r="AB975" s="354"/>
      <c r="AC975" s="354"/>
      <c r="AD975" s="354"/>
      <c r="AE975" s="354"/>
      <c r="AF975" s="354"/>
      <c r="AG975" s="354"/>
      <c r="AH975" s="354"/>
      <c r="AI975" s="354"/>
      <c r="AJ975" s="354"/>
      <c r="AK975" s="354"/>
      <c r="AL975" s="354"/>
      <c r="AM975" s="354"/>
      <c r="AN975" s="354"/>
      <c r="AO975" s="354"/>
      <c r="AP975" s="354"/>
      <c r="AQ975" s="354"/>
      <c r="AR975" s="354"/>
      <c r="AS975" s="354"/>
      <c r="AT975" s="354"/>
      <c r="AU975" s="354"/>
      <c r="AV975" s="354"/>
      <c r="AW975" s="354"/>
    </row>
    <row r="976" spans="1:49">
      <c r="A976" s="354"/>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c r="AA976" s="354"/>
      <c r="AB976" s="354"/>
      <c r="AC976" s="354"/>
      <c r="AD976" s="354"/>
      <c r="AE976" s="354"/>
      <c r="AF976" s="354"/>
      <c r="AG976" s="354"/>
      <c r="AH976" s="354"/>
      <c r="AI976" s="354"/>
      <c r="AJ976" s="354"/>
      <c r="AK976" s="354"/>
      <c r="AL976" s="354"/>
      <c r="AM976" s="354"/>
      <c r="AN976" s="354"/>
      <c r="AO976" s="354"/>
      <c r="AP976" s="354"/>
      <c r="AQ976" s="354"/>
      <c r="AR976" s="354"/>
      <c r="AS976" s="354"/>
      <c r="AT976" s="354"/>
      <c r="AU976" s="354"/>
      <c r="AV976" s="354"/>
      <c r="AW976" s="354"/>
    </row>
    <row r="977" spans="1:49">
      <c r="A977" s="354"/>
      <c r="B977" s="354"/>
      <c r="C977" s="354"/>
      <c r="D977" s="354"/>
      <c r="E977" s="354"/>
      <c r="F977" s="354"/>
      <c r="G977" s="354"/>
      <c r="H977" s="354"/>
      <c r="I977" s="354"/>
      <c r="J977" s="354"/>
      <c r="K977" s="354"/>
      <c r="L977" s="354"/>
      <c r="M977" s="354"/>
      <c r="N977" s="354"/>
      <c r="O977" s="354"/>
      <c r="P977" s="354"/>
      <c r="Q977" s="354"/>
      <c r="R977" s="354"/>
      <c r="S977" s="354"/>
      <c r="T977" s="354"/>
      <c r="U977" s="354"/>
      <c r="V977" s="354"/>
      <c r="W977" s="354"/>
      <c r="X977" s="354"/>
      <c r="Y977" s="354"/>
      <c r="Z977" s="354"/>
      <c r="AA977" s="354"/>
      <c r="AB977" s="354"/>
      <c r="AC977" s="354"/>
      <c r="AD977" s="354"/>
      <c r="AE977" s="354"/>
      <c r="AF977" s="354"/>
      <c r="AG977" s="354"/>
      <c r="AH977" s="354"/>
      <c r="AI977" s="354"/>
      <c r="AJ977" s="354"/>
      <c r="AK977" s="354"/>
      <c r="AL977" s="354"/>
      <c r="AM977" s="354"/>
      <c r="AN977" s="354"/>
      <c r="AO977" s="354"/>
      <c r="AP977" s="354"/>
      <c r="AQ977" s="354"/>
      <c r="AR977" s="354"/>
      <c r="AS977" s="354"/>
      <c r="AT977" s="354"/>
      <c r="AU977" s="354"/>
      <c r="AV977" s="354"/>
      <c r="AW977" s="354"/>
    </row>
    <row r="978" spans="1:49">
      <c r="A978" s="354"/>
      <c r="B978" s="354"/>
      <c r="C978" s="354"/>
      <c r="D978" s="354"/>
      <c r="E978" s="354"/>
      <c r="F978" s="354"/>
      <c r="G978" s="354"/>
      <c r="H978" s="354"/>
      <c r="I978" s="354"/>
      <c r="J978" s="354"/>
      <c r="K978" s="354"/>
      <c r="L978" s="354"/>
      <c r="M978" s="354"/>
      <c r="N978" s="354"/>
      <c r="O978" s="354"/>
      <c r="P978" s="354"/>
      <c r="Q978" s="354"/>
      <c r="R978" s="354"/>
      <c r="S978" s="354"/>
      <c r="T978" s="354"/>
      <c r="U978" s="354"/>
      <c r="V978" s="354"/>
      <c r="W978" s="354"/>
      <c r="X978" s="354"/>
      <c r="Y978" s="354"/>
      <c r="Z978" s="354"/>
      <c r="AA978" s="354"/>
      <c r="AB978" s="354"/>
      <c r="AC978" s="354"/>
      <c r="AD978" s="354"/>
      <c r="AE978" s="354"/>
      <c r="AF978" s="354"/>
      <c r="AG978" s="354"/>
      <c r="AH978" s="354"/>
      <c r="AI978" s="354"/>
      <c r="AJ978" s="354"/>
      <c r="AK978" s="354"/>
      <c r="AL978" s="354"/>
      <c r="AM978" s="354"/>
      <c r="AN978" s="354"/>
      <c r="AO978" s="354"/>
      <c r="AP978" s="354"/>
      <c r="AQ978" s="354"/>
      <c r="AR978" s="354"/>
      <c r="AS978" s="354"/>
      <c r="AT978" s="354"/>
      <c r="AU978" s="354"/>
      <c r="AV978" s="354"/>
      <c r="AW978" s="354"/>
    </row>
    <row r="979" spans="1:49">
      <c r="A979" s="354"/>
      <c r="B979" s="354"/>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Y979" s="354"/>
      <c r="Z979" s="354"/>
      <c r="AA979" s="354"/>
      <c r="AB979" s="354"/>
      <c r="AC979" s="354"/>
      <c r="AD979" s="354"/>
      <c r="AE979" s="354"/>
      <c r="AF979" s="354"/>
      <c r="AG979" s="354"/>
      <c r="AH979" s="354"/>
      <c r="AI979" s="354"/>
      <c r="AJ979" s="354"/>
      <c r="AK979" s="354"/>
      <c r="AL979" s="354"/>
      <c r="AM979" s="354"/>
      <c r="AN979" s="354"/>
      <c r="AO979" s="354"/>
      <c r="AP979" s="354"/>
      <c r="AQ979" s="354"/>
      <c r="AR979" s="354"/>
      <c r="AS979" s="354"/>
      <c r="AT979" s="354"/>
      <c r="AU979" s="354"/>
      <c r="AV979" s="354"/>
      <c r="AW979" s="354"/>
    </row>
    <row r="980" spans="1:49">
      <c r="A980" s="354"/>
      <c r="B980" s="354"/>
      <c r="C980" s="354"/>
      <c r="D980" s="354"/>
      <c r="E980" s="354"/>
      <c r="F980" s="354"/>
      <c r="G980" s="354"/>
      <c r="H980" s="354"/>
      <c r="I980" s="354"/>
      <c r="J980" s="354"/>
      <c r="K980" s="354"/>
      <c r="L980" s="354"/>
      <c r="M980" s="354"/>
      <c r="N980" s="354"/>
      <c r="O980" s="354"/>
      <c r="P980" s="354"/>
      <c r="Q980" s="354"/>
      <c r="R980" s="354"/>
      <c r="S980" s="354"/>
      <c r="T980" s="354"/>
      <c r="U980" s="354"/>
      <c r="V980" s="354"/>
      <c r="W980" s="354"/>
      <c r="X980" s="354"/>
      <c r="Y980" s="354"/>
      <c r="Z980" s="354"/>
      <c r="AA980" s="354"/>
      <c r="AB980" s="354"/>
      <c r="AC980" s="354"/>
      <c r="AD980" s="354"/>
      <c r="AE980" s="354"/>
      <c r="AF980" s="354"/>
      <c r="AG980" s="354"/>
      <c r="AH980" s="354"/>
      <c r="AI980" s="354"/>
      <c r="AJ980" s="354"/>
      <c r="AK980" s="354"/>
      <c r="AL980" s="354"/>
      <c r="AM980" s="354"/>
      <c r="AN980" s="354"/>
      <c r="AO980" s="354"/>
      <c r="AP980" s="354"/>
      <c r="AQ980" s="354"/>
      <c r="AR980" s="354"/>
      <c r="AS980" s="354"/>
      <c r="AT980" s="354"/>
      <c r="AU980" s="354"/>
      <c r="AV980" s="354"/>
      <c r="AW980" s="354"/>
    </row>
    <row r="981" spans="1:49">
      <c r="A981" s="354"/>
      <c r="B981" s="354"/>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c r="AA981" s="354"/>
      <c r="AB981" s="354"/>
      <c r="AC981" s="354"/>
      <c r="AD981" s="354"/>
      <c r="AE981" s="354"/>
      <c r="AF981" s="354"/>
      <c r="AG981" s="354"/>
      <c r="AH981" s="354"/>
      <c r="AI981" s="354"/>
      <c r="AJ981" s="354"/>
      <c r="AK981" s="354"/>
      <c r="AL981" s="354"/>
      <c r="AM981" s="354"/>
      <c r="AN981" s="354"/>
      <c r="AO981" s="354"/>
      <c r="AP981" s="354"/>
      <c r="AQ981" s="354"/>
      <c r="AR981" s="354"/>
      <c r="AS981" s="354"/>
      <c r="AT981" s="354"/>
      <c r="AU981" s="354"/>
      <c r="AV981" s="354"/>
      <c r="AW981" s="354"/>
    </row>
    <row r="982" spans="1:49">
      <c r="A982" s="354"/>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c r="AA982" s="354"/>
      <c r="AB982" s="354"/>
      <c r="AC982" s="354"/>
      <c r="AD982" s="354"/>
      <c r="AE982" s="354"/>
      <c r="AF982" s="354"/>
      <c r="AG982" s="354"/>
      <c r="AH982" s="354"/>
      <c r="AI982" s="354"/>
      <c r="AJ982" s="354"/>
      <c r="AK982" s="354"/>
      <c r="AL982" s="354"/>
      <c r="AM982" s="354"/>
      <c r="AN982" s="354"/>
      <c r="AO982" s="354"/>
      <c r="AP982" s="354"/>
      <c r="AQ982" s="354"/>
      <c r="AR982" s="354"/>
      <c r="AS982" s="354"/>
      <c r="AT982" s="354"/>
      <c r="AU982" s="354"/>
      <c r="AV982" s="354"/>
      <c r="AW982" s="354"/>
    </row>
    <row r="983" spans="1:49">
      <c r="A983" s="354"/>
      <c r="B983" s="354"/>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c r="AA983" s="354"/>
      <c r="AB983" s="354"/>
      <c r="AC983" s="354"/>
      <c r="AD983" s="354"/>
      <c r="AE983" s="354"/>
      <c r="AF983" s="354"/>
      <c r="AG983" s="354"/>
      <c r="AH983" s="354"/>
      <c r="AI983" s="354"/>
      <c r="AJ983" s="354"/>
      <c r="AK983" s="354"/>
      <c r="AL983" s="354"/>
      <c r="AM983" s="354"/>
      <c r="AN983" s="354"/>
      <c r="AO983" s="354"/>
      <c r="AP983" s="354"/>
      <c r="AQ983" s="354"/>
      <c r="AR983" s="354"/>
      <c r="AS983" s="354"/>
      <c r="AT983" s="354"/>
      <c r="AU983" s="354"/>
      <c r="AV983" s="354"/>
      <c r="AW983" s="354"/>
    </row>
    <row r="984" spans="1:49">
      <c r="A984" s="354"/>
      <c r="B984" s="354"/>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c r="AA984" s="354"/>
      <c r="AB984" s="354"/>
      <c r="AC984" s="354"/>
      <c r="AD984" s="354"/>
      <c r="AE984" s="354"/>
      <c r="AF984" s="354"/>
      <c r="AG984" s="354"/>
      <c r="AH984" s="354"/>
      <c r="AI984" s="354"/>
      <c r="AJ984" s="354"/>
      <c r="AK984" s="354"/>
      <c r="AL984" s="354"/>
      <c r="AM984" s="354"/>
      <c r="AN984" s="354"/>
      <c r="AO984" s="354"/>
      <c r="AP984" s="354"/>
      <c r="AQ984" s="354"/>
      <c r="AR984" s="354"/>
      <c r="AS984" s="354"/>
      <c r="AT984" s="354"/>
      <c r="AU984" s="354"/>
      <c r="AV984" s="354"/>
      <c r="AW984" s="354"/>
    </row>
    <row r="985" spans="1:49">
      <c r="A985" s="354"/>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c r="AA985" s="354"/>
      <c r="AB985" s="354"/>
      <c r="AC985" s="354"/>
      <c r="AD985" s="354"/>
      <c r="AE985" s="354"/>
      <c r="AF985" s="354"/>
      <c r="AG985" s="354"/>
      <c r="AH985" s="354"/>
      <c r="AI985" s="354"/>
      <c r="AJ985" s="354"/>
      <c r="AK985" s="354"/>
      <c r="AL985" s="354"/>
      <c r="AM985" s="354"/>
      <c r="AN985" s="354"/>
      <c r="AO985" s="354"/>
      <c r="AP985" s="354"/>
      <c r="AQ985" s="354"/>
      <c r="AR985" s="354"/>
      <c r="AS985" s="354"/>
      <c r="AT985" s="354"/>
      <c r="AU985" s="354"/>
      <c r="AV985" s="354"/>
      <c r="AW985" s="354"/>
    </row>
    <row r="986" spans="1:49">
      <c r="A986" s="354"/>
      <c r="B986" s="354"/>
      <c r="C986" s="354"/>
      <c r="D986" s="354"/>
      <c r="E986" s="354"/>
      <c r="F986" s="354"/>
      <c r="G986" s="354"/>
      <c r="H986" s="354"/>
      <c r="I986" s="354"/>
      <c r="J986" s="354"/>
      <c r="K986" s="354"/>
      <c r="L986" s="354"/>
      <c r="M986" s="354"/>
      <c r="N986" s="354"/>
      <c r="O986" s="354"/>
      <c r="P986" s="354"/>
      <c r="Q986" s="354"/>
      <c r="R986" s="354"/>
      <c r="S986" s="354"/>
      <c r="T986" s="354"/>
      <c r="U986" s="354"/>
      <c r="V986" s="354"/>
      <c r="W986" s="354"/>
      <c r="X986" s="354"/>
      <c r="Y986" s="354"/>
      <c r="Z986" s="354"/>
      <c r="AA986" s="354"/>
      <c r="AB986" s="354"/>
      <c r="AC986" s="354"/>
      <c r="AD986" s="354"/>
      <c r="AE986" s="354"/>
      <c r="AF986" s="354"/>
      <c r="AG986" s="354"/>
      <c r="AH986" s="354"/>
      <c r="AI986" s="354"/>
      <c r="AJ986" s="354"/>
      <c r="AK986" s="354"/>
      <c r="AL986" s="354"/>
      <c r="AM986" s="354"/>
      <c r="AN986" s="354"/>
      <c r="AO986" s="354"/>
      <c r="AP986" s="354"/>
      <c r="AQ986" s="354"/>
      <c r="AR986" s="354"/>
      <c r="AS986" s="354"/>
      <c r="AT986" s="354"/>
      <c r="AU986" s="354"/>
      <c r="AV986" s="354"/>
      <c r="AW986" s="354"/>
    </row>
    <row r="987" spans="1:49">
      <c r="A987" s="354"/>
      <c r="B987" s="354"/>
      <c r="C987" s="354"/>
      <c r="D987" s="354"/>
      <c r="E987" s="354"/>
      <c r="F987" s="354"/>
      <c r="G987" s="354"/>
      <c r="H987" s="354"/>
      <c r="I987" s="354"/>
      <c r="J987" s="354"/>
      <c r="K987" s="354"/>
      <c r="L987" s="354"/>
      <c r="M987" s="354"/>
      <c r="N987" s="354"/>
      <c r="O987" s="354"/>
      <c r="P987" s="354"/>
      <c r="Q987" s="354"/>
      <c r="R987" s="354"/>
      <c r="S987" s="354"/>
      <c r="T987" s="354"/>
      <c r="U987" s="354"/>
      <c r="V987" s="354"/>
      <c r="W987" s="354"/>
      <c r="X987" s="354"/>
      <c r="Y987" s="354"/>
      <c r="Z987" s="354"/>
      <c r="AA987" s="354"/>
      <c r="AB987" s="354"/>
      <c r="AC987" s="354"/>
      <c r="AD987" s="354"/>
      <c r="AE987" s="354"/>
      <c r="AF987" s="354"/>
      <c r="AG987" s="354"/>
      <c r="AH987" s="354"/>
      <c r="AI987" s="354"/>
      <c r="AJ987" s="354"/>
      <c r="AK987" s="354"/>
      <c r="AL987" s="354"/>
      <c r="AM987" s="354"/>
      <c r="AN987" s="354"/>
      <c r="AO987" s="354"/>
      <c r="AP987" s="354"/>
      <c r="AQ987" s="354"/>
      <c r="AR987" s="354"/>
      <c r="AS987" s="354"/>
      <c r="AT987" s="354"/>
      <c r="AU987" s="354"/>
      <c r="AV987" s="354"/>
      <c r="AW987" s="354"/>
    </row>
    <row r="988" spans="1:49">
      <c r="A988" s="354"/>
      <c r="B988" s="354"/>
      <c r="C988" s="354"/>
      <c r="D988" s="354"/>
      <c r="E988" s="354"/>
      <c r="F988" s="354"/>
      <c r="G988" s="354"/>
      <c r="H988" s="354"/>
      <c r="I988" s="354"/>
      <c r="J988" s="354"/>
      <c r="K988" s="354"/>
      <c r="L988" s="354"/>
      <c r="M988" s="354"/>
      <c r="N988" s="354"/>
      <c r="O988" s="354"/>
      <c r="P988" s="354"/>
      <c r="Q988" s="354"/>
      <c r="R988" s="354"/>
      <c r="S988" s="354"/>
      <c r="T988" s="354"/>
      <c r="U988" s="354"/>
      <c r="V988" s="354"/>
      <c r="W988" s="354"/>
      <c r="X988" s="354"/>
      <c r="Y988" s="354"/>
      <c r="Z988" s="354"/>
      <c r="AA988" s="354"/>
      <c r="AB988" s="354"/>
      <c r="AC988" s="354"/>
      <c r="AD988" s="354"/>
      <c r="AE988" s="354"/>
      <c r="AF988" s="354"/>
      <c r="AG988" s="354"/>
      <c r="AH988" s="354"/>
      <c r="AI988" s="354"/>
      <c r="AJ988" s="354"/>
      <c r="AK988" s="354"/>
      <c r="AL988" s="354"/>
      <c r="AM988" s="354"/>
      <c r="AN988" s="354"/>
      <c r="AO988" s="354"/>
      <c r="AP988" s="354"/>
      <c r="AQ988" s="354"/>
      <c r="AR988" s="354"/>
      <c r="AS988" s="354"/>
      <c r="AT988" s="354"/>
      <c r="AU988" s="354"/>
      <c r="AV988" s="354"/>
      <c r="AW988" s="354"/>
    </row>
    <row r="989" spans="1:49">
      <c r="A989" s="354"/>
      <c r="B989" s="354"/>
      <c r="C989" s="354"/>
      <c r="D989" s="354"/>
      <c r="E989" s="354"/>
      <c r="F989" s="354"/>
      <c r="G989" s="354"/>
      <c r="H989" s="354"/>
      <c r="I989" s="354"/>
      <c r="J989" s="354"/>
      <c r="K989" s="354"/>
      <c r="L989" s="354"/>
      <c r="M989" s="354"/>
      <c r="N989" s="354"/>
      <c r="O989" s="354"/>
      <c r="P989" s="354"/>
      <c r="Q989" s="354"/>
      <c r="R989" s="354"/>
      <c r="S989" s="354"/>
      <c r="T989" s="354"/>
      <c r="U989" s="354"/>
      <c r="V989" s="354"/>
      <c r="W989" s="354"/>
      <c r="X989" s="354"/>
      <c r="Y989" s="354"/>
      <c r="Z989" s="354"/>
      <c r="AA989" s="354"/>
      <c r="AB989" s="354"/>
      <c r="AC989" s="354"/>
      <c r="AD989" s="354"/>
      <c r="AE989" s="354"/>
      <c r="AF989" s="354"/>
      <c r="AG989" s="354"/>
      <c r="AH989" s="354"/>
      <c r="AI989" s="354"/>
      <c r="AJ989" s="354"/>
      <c r="AK989" s="354"/>
      <c r="AL989" s="354"/>
      <c r="AM989" s="354"/>
      <c r="AN989" s="354"/>
      <c r="AO989" s="354"/>
      <c r="AP989" s="354"/>
      <c r="AQ989" s="354"/>
      <c r="AR989" s="354"/>
      <c r="AS989" s="354"/>
      <c r="AT989" s="354"/>
      <c r="AU989" s="354"/>
      <c r="AV989" s="354"/>
      <c r="AW989" s="354"/>
    </row>
    <row r="990" spans="1:49">
      <c r="A990" s="354"/>
      <c r="B990" s="354"/>
      <c r="C990" s="354"/>
      <c r="D990" s="354"/>
      <c r="E990" s="354"/>
      <c r="F990" s="354"/>
      <c r="G990" s="354"/>
      <c r="H990" s="354"/>
      <c r="I990" s="354"/>
      <c r="J990" s="354"/>
      <c r="K990" s="354"/>
      <c r="L990" s="354"/>
      <c r="M990" s="354"/>
      <c r="N990" s="354"/>
      <c r="O990" s="354"/>
      <c r="P990" s="354"/>
      <c r="Q990" s="354"/>
      <c r="R990" s="354"/>
      <c r="S990" s="354"/>
      <c r="T990" s="354"/>
      <c r="U990" s="354"/>
      <c r="V990" s="354"/>
      <c r="W990" s="354"/>
      <c r="X990" s="354"/>
      <c r="Y990" s="354"/>
      <c r="Z990" s="354"/>
      <c r="AA990" s="354"/>
      <c r="AB990" s="354"/>
      <c r="AC990" s="354"/>
      <c r="AD990" s="354"/>
      <c r="AE990" s="354"/>
      <c r="AF990" s="354"/>
      <c r="AG990" s="354"/>
      <c r="AH990" s="354"/>
      <c r="AI990" s="354"/>
      <c r="AJ990" s="354"/>
      <c r="AK990" s="354"/>
      <c r="AL990" s="354"/>
      <c r="AM990" s="354"/>
      <c r="AN990" s="354"/>
      <c r="AO990" s="354"/>
      <c r="AP990" s="354"/>
      <c r="AQ990" s="354"/>
      <c r="AR990" s="354"/>
      <c r="AS990" s="354"/>
      <c r="AT990" s="354"/>
      <c r="AU990" s="354"/>
      <c r="AV990" s="354"/>
      <c r="AW990" s="354"/>
    </row>
    <row r="991" spans="1:49">
      <c r="A991" s="354"/>
      <c r="B991" s="354"/>
      <c r="C991" s="354"/>
      <c r="D991" s="354"/>
      <c r="E991" s="354"/>
      <c r="F991" s="354"/>
      <c r="G991" s="354"/>
      <c r="H991" s="354"/>
      <c r="I991" s="354"/>
      <c r="J991" s="354"/>
      <c r="K991" s="354"/>
      <c r="L991" s="354"/>
      <c r="M991" s="354"/>
      <c r="N991" s="354"/>
      <c r="O991" s="354"/>
      <c r="P991" s="354"/>
      <c r="Q991" s="354"/>
      <c r="R991" s="354"/>
      <c r="S991" s="354"/>
      <c r="T991" s="354"/>
      <c r="U991" s="354"/>
      <c r="V991" s="354"/>
      <c r="W991" s="354"/>
      <c r="X991" s="354"/>
      <c r="Y991" s="354"/>
      <c r="Z991" s="354"/>
      <c r="AA991" s="354"/>
      <c r="AB991" s="354"/>
      <c r="AC991" s="354"/>
      <c r="AD991" s="354"/>
      <c r="AE991" s="354"/>
      <c r="AF991" s="354"/>
      <c r="AG991" s="354"/>
      <c r="AH991" s="354"/>
      <c r="AI991" s="354"/>
      <c r="AJ991" s="354"/>
      <c r="AK991" s="354"/>
      <c r="AL991" s="354"/>
      <c r="AM991" s="354"/>
      <c r="AN991" s="354"/>
      <c r="AO991" s="354"/>
      <c r="AP991" s="354"/>
      <c r="AQ991" s="354"/>
      <c r="AR991" s="354"/>
      <c r="AS991" s="354"/>
      <c r="AT991" s="354"/>
      <c r="AU991" s="354"/>
      <c r="AV991" s="354"/>
      <c r="AW991" s="354"/>
    </row>
    <row r="992" spans="1:49">
      <c r="A992" s="354"/>
      <c r="B992" s="354"/>
      <c r="C992" s="354"/>
      <c r="D992" s="354"/>
      <c r="E992" s="354"/>
      <c r="F992" s="354"/>
      <c r="G992" s="354"/>
      <c r="H992" s="354"/>
      <c r="I992" s="354"/>
      <c r="J992" s="354"/>
      <c r="K992" s="354"/>
      <c r="L992" s="354"/>
      <c r="M992" s="354"/>
      <c r="N992" s="354"/>
      <c r="O992" s="354"/>
      <c r="P992" s="354"/>
      <c r="Q992" s="354"/>
      <c r="R992" s="354"/>
      <c r="S992" s="354"/>
      <c r="T992" s="354"/>
      <c r="U992" s="354"/>
      <c r="V992" s="354"/>
      <c r="W992" s="354"/>
      <c r="X992" s="354"/>
      <c r="Y992" s="354"/>
      <c r="Z992" s="354"/>
      <c r="AA992" s="354"/>
      <c r="AB992" s="354"/>
      <c r="AC992" s="354"/>
      <c r="AD992" s="354"/>
      <c r="AE992" s="354"/>
      <c r="AF992" s="354"/>
      <c r="AG992" s="354"/>
      <c r="AH992" s="354"/>
      <c r="AI992" s="354"/>
      <c r="AJ992" s="354"/>
      <c r="AK992" s="354"/>
      <c r="AL992" s="354"/>
      <c r="AM992" s="354"/>
      <c r="AN992" s="354"/>
      <c r="AO992" s="354"/>
      <c r="AP992" s="354"/>
      <c r="AQ992" s="354"/>
      <c r="AR992" s="354"/>
      <c r="AS992" s="354"/>
      <c r="AT992" s="354"/>
      <c r="AU992" s="354"/>
      <c r="AV992" s="354"/>
      <c r="AW992" s="354"/>
    </row>
    <row r="993" spans="1:49">
      <c r="A993" s="354"/>
      <c r="B993" s="354"/>
      <c r="C993" s="354"/>
      <c r="D993" s="354"/>
      <c r="E993" s="354"/>
      <c r="F993" s="354"/>
      <c r="G993" s="354"/>
      <c r="H993" s="354"/>
      <c r="I993" s="354"/>
      <c r="J993" s="354"/>
      <c r="K993" s="354"/>
      <c r="L993" s="354"/>
      <c r="M993" s="354"/>
      <c r="N993" s="354"/>
      <c r="O993" s="354"/>
      <c r="P993" s="354"/>
      <c r="Q993" s="354"/>
      <c r="R993" s="354"/>
      <c r="S993" s="354"/>
      <c r="T993" s="354"/>
      <c r="U993" s="354"/>
      <c r="V993" s="354"/>
      <c r="W993" s="354"/>
      <c r="X993" s="354"/>
      <c r="Y993" s="354"/>
      <c r="Z993" s="354"/>
      <c r="AA993" s="354"/>
      <c r="AB993" s="354"/>
      <c r="AC993" s="354"/>
      <c r="AD993" s="354"/>
      <c r="AE993" s="354"/>
      <c r="AF993" s="354"/>
      <c r="AG993" s="354"/>
      <c r="AH993" s="354"/>
      <c r="AI993" s="354"/>
      <c r="AJ993" s="354"/>
      <c r="AK993" s="354"/>
      <c r="AL993" s="354"/>
      <c r="AM993" s="354"/>
      <c r="AN993" s="354"/>
      <c r="AO993" s="354"/>
      <c r="AP993" s="354"/>
      <c r="AQ993" s="354"/>
      <c r="AR993" s="354"/>
      <c r="AS993" s="354"/>
      <c r="AT993" s="354"/>
      <c r="AU993" s="354"/>
      <c r="AV993" s="354"/>
      <c r="AW993" s="354"/>
    </row>
    <row r="994" spans="1:49">
      <c r="A994" s="354"/>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c r="AA994" s="354"/>
      <c r="AB994" s="354"/>
      <c r="AC994" s="354"/>
      <c r="AD994" s="354"/>
      <c r="AE994" s="354"/>
      <c r="AF994" s="354"/>
      <c r="AG994" s="354"/>
      <c r="AH994" s="354"/>
      <c r="AI994" s="354"/>
      <c r="AJ994" s="354"/>
      <c r="AK994" s="354"/>
      <c r="AL994" s="354"/>
      <c r="AM994" s="354"/>
      <c r="AN994" s="354"/>
      <c r="AO994" s="354"/>
      <c r="AP994" s="354"/>
      <c r="AQ994" s="354"/>
      <c r="AR994" s="354"/>
      <c r="AS994" s="354"/>
      <c r="AT994" s="354"/>
      <c r="AU994" s="354"/>
      <c r="AV994" s="354"/>
      <c r="AW994" s="354"/>
    </row>
    <row r="995" spans="1:49">
      <c r="A995" s="354"/>
      <c r="B995" s="354"/>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c r="AA995" s="354"/>
      <c r="AB995" s="354"/>
      <c r="AC995" s="354"/>
      <c r="AD995" s="354"/>
      <c r="AE995" s="354"/>
      <c r="AF995" s="354"/>
      <c r="AG995" s="354"/>
      <c r="AH995" s="354"/>
      <c r="AI995" s="354"/>
      <c r="AJ995" s="354"/>
      <c r="AK995" s="354"/>
      <c r="AL995" s="354"/>
      <c r="AM995" s="354"/>
      <c r="AN995" s="354"/>
      <c r="AO995" s="354"/>
      <c r="AP995" s="354"/>
      <c r="AQ995" s="354"/>
      <c r="AR995" s="354"/>
      <c r="AS995" s="354"/>
      <c r="AT995" s="354"/>
      <c r="AU995" s="354"/>
      <c r="AV995" s="354"/>
      <c r="AW995" s="354"/>
    </row>
    <row r="996" spans="1:49">
      <c r="A996" s="354"/>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c r="AA996" s="354"/>
      <c r="AB996" s="354"/>
      <c r="AC996" s="354"/>
      <c r="AD996" s="354"/>
      <c r="AE996" s="354"/>
      <c r="AF996" s="354"/>
      <c r="AG996" s="354"/>
      <c r="AH996" s="354"/>
      <c r="AI996" s="354"/>
      <c r="AJ996" s="354"/>
      <c r="AK996" s="354"/>
      <c r="AL996" s="354"/>
      <c r="AM996" s="354"/>
      <c r="AN996" s="354"/>
      <c r="AO996" s="354"/>
      <c r="AP996" s="354"/>
      <c r="AQ996" s="354"/>
      <c r="AR996" s="354"/>
      <c r="AS996" s="354"/>
      <c r="AT996" s="354"/>
      <c r="AU996" s="354"/>
      <c r="AV996" s="354"/>
      <c r="AW996" s="354"/>
    </row>
    <row r="997" spans="1:49">
      <c r="A997" s="354"/>
      <c r="B997" s="354"/>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c r="AA997" s="354"/>
      <c r="AB997" s="354"/>
      <c r="AC997" s="354"/>
      <c r="AD997" s="354"/>
      <c r="AE997" s="354"/>
      <c r="AF997" s="354"/>
      <c r="AG997" s="354"/>
      <c r="AH997" s="354"/>
      <c r="AI997" s="354"/>
      <c r="AJ997" s="354"/>
      <c r="AK997" s="354"/>
      <c r="AL997" s="354"/>
      <c r="AM997" s="354"/>
      <c r="AN997" s="354"/>
      <c r="AO997" s="354"/>
      <c r="AP997" s="354"/>
      <c r="AQ997" s="354"/>
      <c r="AR997" s="354"/>
      <c r="AS997" s="354"/>
      <c r="AT997" s="354"/>
      <c r="AU997" s="354"/>
      <c r="AV997" s="354"/>
      <c r="AW997" s="354"/>
    </row>
    <row r="998" spans="1:49">
      <c r="A998" s="354"/>
      <c r="B998" s="354"/>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c r="AA998" s="354"/>
      <c r="AB998" s="354"/>
      <c r="AC998" s="354"/>
      <c r="AD998" s="354"/>
      <c r="AE998" s="354"/>
      <c r="AF998" s="354"/>
      <c r="AG998" s="354"/>
      <c r="AH998" s="354"/>
      <c r="AI998" s="354"/>
      <c r="AJ998" s="354"/>
      <c r="AK998" s="354"/>
      <c r="AL998" s="354"/>
      <c r="AM998" s="354"/>
      <c r="AN998" s="354"/>
      <c r="AO998" s="354"/>
      <c r="AP998" s="354"/>
      <c r="AQ998" s="354"/>
      <c r="AR998" s="354"/>
      <c r="AS998" s="354"/>
      <c r="AT998" s="354"/>
      <c r="AU998" s="354"/>
      <c r="AV998" s="354"/>
      <c r="AW998" s="354"/>
    </row>
    <row r="999" spans="1:49">
      <c r="A999" s="354"/>
      <c r="B999" s="354"/>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Y999" s="354"/>
      <c r="Z999" s="354"/>
      <c r="AA999" s="354"/>
      <c r="AB999" s="354"/>
      <c r="AC999" s="354"/>
      <c r="AD999" s="354"/>
      <c r="AE999" s="354"/>
      <c r="AF999" s="354"/>
      <c r="AG999" s="354"/>
      <c r="AH999" s="354"/>
      <c r="AI999" s="354"/>
      <c r="AJ999" s="354"/>
      <c r="AK999" s="354"/>
      <c r="AL999" s="354"/>
      <c r="AM999" s="354"/>
      <c r="AN999" s="354"/>
      <c r="AO999" s="354"/>
      <c r="AP999" s="354"/>
      <c r="AQ999" s="354"/>
      <c r="AR999" s="354"/>
      <c r="AS999" s="354"/>
      <c r="AT999" s="354"/>
      <c r="AU999" s="354"/>
      <c r="AV999" s="354"/>
      <c r="AW999" s="354"/>
    </row>
    <row r="1000" spans="1:49">
      <c r="A1000" s="354"/>
      <c r="B1000" s="354"/>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c r="AA1000" s="354"/>
      <c r="AB1000" s="354"/>
      <c r="AC1000" s="354"/>
      <c r="AD1000" s="354"/>
      <c r="AE1000" s="354"/>
      <c r="AF1000" s="354"/>
      <c r="AG1000" s="354"/>
      <c r="AH1000" s="354"/>
      <c r="AI1000" s="354"/>
      <c r="AJ1000" s="354"/>
      <c r="AK1000" s="354"/>
      <c r="AL1000" s="354"/>
      <c r="AM1000" s="354"/>
      <c r="AN1000" s="354"/>
      <c r="AO1000" s="354"/>
      <c r="AP1000" s="354"/>
      <c r="AQ1000" s="354"/>
      <c r="AR1000" s="354"/>
      <c r="AS1000" s="354"/>
      <c r="AT1000" s="354"/>
      <c r="AU1000" s="354"/>
      <c r="AV1000" s="354"/>
      <c r="AW1000" s="354"/>
    </row>
    <row r="1001" spans="1:49">
      <c r="A1001" s="354"/>
      <c r="B1001" s="354"/>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Y1001" s="354"/>
      <c r="Z1001" s="354"/>
      <c r="AA1001" s="354"/>
      <c r="AB1001" s="354"/>
      <c r="AC1001" s="354"/>
      <c r="AD1001" s="354"/>
      <c r="AE1001" s="354"/>
      <c r="AF1001" s="354"/>
      <c r="AG1001" s="354"/>
      <c r="AH1001" s="354"/>
      <c r="AI1001" s="354"/>
      <c r="AJ1001" s="354"/>
      <c r="AK1001" s="354"/>
      <c r="AL1001" s="354"/>
      <c r="AM1001" s="354"/>
      <c r="AN1001" s="354"/>
      <c r="AO1001" s="354"/>
      <c r="AP1001" s="354"/>
      <c r="AQ1001" s="354"/>
      <c r="AR1001" s="354"/>
      <c r="AS1001" s="354"/>
      <c r="AT1001" s="354"/>
      <c r="AU1001" s="354"/>
      <c r="AV1001" s="354"/>
      <c r="AW1001" s="354"/>
    </row>
    <row r="1002" spans="1:49">
      <c r="A1002" s="354"/>
      <c r="B1002" s="354"/>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Y1002" s="354"/>
      <c r="Z1002" s="354"/>
      <c r="AA1002" s="354"/>
      <c r="AB1002" s="354"/>
      <c r="AC1002" s="354"/>
      <c r="AD1002" s="354"/>
      <c r="AE1002" s="354"/>
      <c r="AF1002" s="354"/>
      <c r="AG1002" s="354"/>
      <c r="AH1002" s="354"/>
      <c r="AI1002" s="354"/>
      <c r="AJ1002" s="354"/>
      <c r="AK1002" s="354"/>
      <c r="AL1002" s="354"/>
      <c r="AM1002" s="354"/>
      <c r="AN1002" s="354"/>
      <c r="AO1002" s="354"/>
      <c r="AP1002" s="354"/>
      <c r="AQ1002" s="354"/>
      <c r="AR1002" s="354"/>
      <c r="AS1002" s="354"/>
      <c r="AT1002" s="354"/>
      <c r="AU1002" s="354"/>
      <c r="AV1002" s="354"/>
      <c r="AW1002" s="354"/>
    </row>
    <row r="1003" spans="1:49">
      <c r="A1003" s="354"/>
      <c r="B1003" s="354"/>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Y1003" s="354"/>
      <c r="Z1003" s="354"/>
      <c r="AA1003" s="354"/>
      <c r="AB1003" s="354"/>
      <c r="AC1003" s="354"/>
      <c r="AD1003" s="354"/>
      <c r="AE1003" s="354"/>
      <c r="AF1003" s="354"/>
      <c r="AG1003" s="354"/>
      <c r="AH1003" s="354"/>
      <c r="AI1003" s="354"/>
      <c r="AJ1003" s="354"/>
      <c r="AK1003" s="354"/>
      <c r="AL1003" s="354"/>
      <c r="AM1003" s="354"/>
      <c r="AN1003" s="354"/>
      <c r="AO1003" s="354"/>
      <c r="AP1003" s="354"/>
      <c r="AQ1003" s="354"/>
      <c r="AR1003" s="354"/>
      <c r="AS1003" s="354"/>
      <c r="AT1003" s="354"/>
      <c r="AU1003" s="354"/>
      <c r="AV1003" s="354"/>
      <c r="AW1003" s="354"/>
    </row>
    <row r="1004" spans="1:49">
      <c r="A1004" s="354"/>
      <c r="B1004" s="354"/>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Y1004" s="354"/>
      <c r="Z1004" s="354"/>
      <c r="AA1004" s="354"/>
      <c r="AB1004" s="354"/>
      <c r="AC1004" s="354"/>
      <c r="AD1004" s="354"/>
      <c r="AE1004" s="354"/>
      <c r="AF1004" s="354"/>
      <c r="AG1004" s="354"/>
      <c r="AH1004" s="354"/>
      <c r="AI1004" s="354"/>
      <c r="AJ1004" s="354"/>
      <c r="AK1004" s="354"/>
      <c r="AL1004" s="354"/>
      <c r="AM1004" s="354"/>
      <c r="AN1004" s="354"/>
      <c r="AO1004" s="354"/>
      <c r="AP1004" s="354"/>
      <c r="AQ1004" s="354"/>
      <c r="AR1004" s="354"/>
      <c r="AS1004" s="354"/>
      <c r="AT1004" s="354"/>
      <c r="AU1004" s="354"/>
      <c r="AV1004" s="354"/>
      <c r="AW1004" s="354"/>
    </row>
    <row r="1005" spans="1:49">
      <c r="A1005" s="354"/>
      <c r="B1005" s="354"/>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Y1005" s="354"/>
      <c r="Z1005" s="354"/>
      <c r="AA1005" s="354"/>
      <c r="AB1005" s="354"/>
      <c r="AC1005" s="354"/>
      <c r="AD1005" s="354"/>
      <c r="AE1005" s="354"/>
      <c r="AF1005" s="354"/>
      <c r="AG1005" s="354"/>
      <c r="AH1005" s="354"/>
      <c r="AI1005" s="354"/>
      <c r="AJ1005" s="354"/>
      <c r="AK1005" s="354"/>
      <c r="AL1005" s="354"/>
      <c r="AM1005" s="354"/>
      <c r="AN1005" s="354"/>
      <c r="AO1005" s="354"/>
      <c r="AP1005" s="354"/>
      <c r="AQ1005" s="354"/>
      <c r="AR1005" s="354"/>
      <c r="AS1005" s="354"/>
      <c r="AT1005" s="354"/>
      <c r="AU1005" s="354"/>
      <c r="AV1005" s="354"/>
      <c r="AW1005" s="354"/>
    </row>
    <row r="1006" spans="1:49">
      <c r="A1006" s="354"/>
      <c r="B1006" s="354"/>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54"/>
      <c r="AE1006" s="354"/>
      <c r="AF1006" s="354"/>
      <c r="AG1006" s="354"/>
      <c r="AH1006" s="354"/>
      <c r="AI1006" s="354"/>
      <c r="AJ1006" s="354"/>
      <c r="AK1006" s="354"/>
      <c r="AL1006" s="354"/>
      <c r="AM1006" s="354"/>
      <c r="AN1006" s="354"/>
      <c r="AO1006" s="354"/>
      <c r="AP1006" s="354"/>
      <c r="AQ1006" s="354"/>
      <c r="AR1006" s="354"/>
      <c r="AS1006" s="354"/>
      <c r="AT1006" s="354"/>
      <c r="AU1006" s="354"/>
      <c r="AV1006" s="354"/>
      <c r="AW1006" s="354"/>
    </row>
    <row r="1007" spans="1:49">
      <c r="A1007" s="354"/>
      <c r="B1007" s="354"/>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Y1007" s="354"/>
      <c r="Z1007" s="354"/>
      <c r="AA1007" s="354"/>
      <c r="AB1007" s="354"/>
      <c r="AC1007" s="354"/>
      <c r="AD1007" s="354"/>
      <c r="AE1007" s="354"/>
      <c r="AF1007" s="354"/>
      <c r="AG1007" s="354"/>
      <c r="AH1007" s="354"/>
      <c r="AI1007" s="354"/>
      <c r="AJ1007" s="354"/>
      <c r="AK1007" s="354"/>
      <c r="AL1007" s="354"/>
      <c r="AM1007" s="354"/>
      <c r="AN1007" s="354"/>
      <c r="AO1007" s="354"/>
      <c r="AP1007" s="354"/>
      <c r="AQ1007" s="354"/>
      <c r="AR1007" s="354"/>
      <c r="AS1007" s="354"/>
      <c r="AT1007" s="354"/>
      <c r="AU1007" s="354"/>
      <c r="AV1007" s="354"/>
      <c r="AW1007" s="354"/>
    </row>
    <row r="1008" spans="1:49">
      <c r="A1008" s="354"/>
      <c r="B1008" s="354"/>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Y1008" s="354"/>
      <c r="Z1008" s="354"/>
      <c r="AA1008" s="354"/>
      <c r="AB1008" s="354"/>
      <c r="AC1008" s="354"/>
      <c r="AD1008" s="354"/>
      <c r="AE1008" s="354"/>
      <c r="AF1008" s="354"/>
      <c r="AG1008" s="354"/>
      <c r="AH1008" s="354"/>
      <c r="AI1008" s="354"/>
      <c r="AJ1008" s="354"/>
      <c r="AK1008" s="354"/>
      <c r="AL1008" s="354"/>
      <c r="AM1008" s="354"/>
      <c r="AN1008" s="354"/>
      <c r="AO1008" s="354"/>
      <c r="AP1008" s="354"/>
      <c r="AQ1008" s="354"/>
      <c r="AR1008" s="354"/>
      <c r="AS1008" s="354"/>
      <c r="AT1008" s="354"/>
      <c r="AU1008" s="354"/>
      <c r="AV1008" s="354"/>
      <c r="AW1008" s="354"/>
    </row>
    <row r="1009" spans="1:49">
      <c r="A1009" s="354"/>
      <c r="B1009" s="354"/>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Y1009" s="354"/>
      <c r="Z1009" s="354"/>
      <c r="AA1009" s="354"/>
      <c r="AB1009" s="354"/>
      <c r="AC1009" s="354"/>
      <c r="AD1009" s="354"/>
      <c r="AE1009" s="354"/>
      <c r="AF1009" s="354"/>
      <c r="AG1009" s="354"/>
      <c r="AH1009" s="354"/>
      <c r="AI1009" s="354"/>
      <c r="AJ1009" s="354"/>
      <c r="AK1009" s="354"/>
      <c r="AL1009" s="354"/>
      <c r="AM1009" s="354"/>
      <c r="AN1009" s="354"/>
      <c r="AO1009" s="354"/>
      <c r="AP1009" s="354"/>
      <c r="AQ1009" s="354"/>
      <c r="AR1009" s="354"/>
      <c r="AS1009" s="354"/>
      <c r="AT1009" s="354"/>
      <c r="AU1009" s="354"/>
      <c r="AV1009" s="354"/>
      <c r="AW1009" s="354"/>
    </row>
    <row r="1010" spans="1:49">
      <c r="A1010" s="354"/>
      <c r="B1010" s="354"/>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Y1010" s="354"/>
      <c r="Z1010" s="354"/>
      <c r="AA1010" s="354"/>
      <c r="AB1010" s="354"/>
      <c r="AC1010" s="354"/>
      <c r="AD1010" s="354"/>
      <c r="AE1010" s="354"/>
      <c r="AF1010" s="354"/>
      <c r="AG1010" s="354"/>
      <c r="AH1010" s="354"/>
      <c r="AI1010" s="354"/>
      <c r="AJ1010" s="354"/>
      <c r="AK1010" s="354"/>
      <c r="AL1010" s="354"/>
      <c r="AM1010" s="354"/>
      <c r="AN1010" s="354"/>
      <c r="AO1010" s="354"/>
      <c r="AP1010" s="354"/>
      <c r="AQ1010" s="354"/>
      <c r="AR1010" s="354"/>
      <c r="AS1010" s="354"/>
      <c r="AT1010" s="354"/>
      <c r="AU1010" s="354"/>
      <c r="AV1010" s="354"/>
      <c r="AW1010" s="354"/>
    </row>
    <row r="1011" spans="1:49">
      <c r="A1011" s="354"/>
      <c r="B1011" s="354"/>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Y1011" s="354"/>
      <c r="Z1011" s="354"/>
      <c r="AA1011" s="354"/>
      <c r="AB1011" s="354"/>
      <c r="AC1011" s="354"/>
      <c r="AD1011" s="354"/>
      <c r="AE1011" s="354"/>
      <c r="AF1011" s="354"/>
      <c r="AG1011" s="354"/>
      <c r="AH1011" s="354"/>
      <c r="AI1011" s="354"/>
      <c r="AJ1011" s="354"/>
      <c r="AK1011" s="354"/>
      <c r="AL1011" s="354"/>
      <c r="AM1011" s="354"/>
      <c r="AN1011" s="354"/>
      <c r="AO1011" s="354"/>
      <c r="AP1011" s="354"/>
      <c r="AQ1011" s="354"/>
      <c r="AR1011" s="354"/>
      <c r="AS1011" s="354"/>
      <c r="AT1011" s="354"/>
      <c r="AU1011" s="354"/>
      <c r="AV1011" s="354"/>
      <c r="AW1011" s="354"/>
    </row>
    <row r="1012" spans="1:49">
      <c r="A1012" s="354"/>
      <c r="B1012" s="354"/>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Y1012" s="354"/>
      <c r="Z1012" s="354"/>
      <c r="AA1012" s="354"/>
      <c r="AB1012" s="354"/>
      <c r="AC1012" s="354"/>
      <c r="AD1012" s="354"/>
      <c r="AE1012" s="354"/>
      <c r="AF1012" s="354"/>
      <c r="AG1012" s="354"/>
      <c r="AH1012" s="354"/>
      <c r="AI1012" s="354"/>
      <c r="AJ1012" s="354"/>
      <c r="AK1012" s="354"/>
      <c r="AL1012" s="354"/>
      <c r="AM1012" s="354"/>
      <c r="AN1012" s="354"/>
      <c r="AO1012" s="354"/>
      <c r="AP1012" s="354"/>
      <c r="AQ1012" s="354"/>
      <c r="AR1012" s="354"/>
      <c r="AS1012" s="354"/>
      <c r="AT1012" s="354"/>
      <c r="AU1012" s="354"/>
      <c r="AV1012" s="354"/>
      <c r="AW1012" s="354"/>
    </row>
    <row r="1013" spans="1:49">
      <c r="A1013" s="354"/>
      <c r="B1013" s="354"/>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Y1013" s="354"/>
      <c r="Z1013" s="354"/>
      <c r="AA1013" s="354"/>
      <c r="AB1013" s="354"/>
      <c r="AC1013" s="354"/>
      <c r="AD1013" s="354"/>
      <c r="AE1013" s="354"/>
      <c r="AF1013" s="354"/>
      <c r="AG1013" s="354"/>
      <c r="AH1013" s="354"/>
      <c r="AI1013" s="354"/>
      <c r="AJ1013" s="354"/>
      <c r="AK1013" s="354"/>
      <c r="AL1013" s="354"/>
      <c r="AM1013" s="354"/>
      <c r="AN1013" s="354"/>
      <c r="AO1013" s="354"/>
      <c r="AP1013" s="354"/>
      <c r="AQ1013" s="354"/>
      <c r="AR1013" s="354"/>
      <c r="AS1013" s="354"/>
      <c r="AT1013" s="354"/>
      <c r="AU1013" s="354"/>
      <c r="AV1013" s="354"/>
      <c r="AW1013" s="354"/>
    </row>
    <row r="1014" spans="1:49">
      <c r="A1014" s="354"/>
      <c r="B1014" s="354"/>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Y1014" s="354"/>
      <c r="Z1014" s="354"/>
      <c r="AA1014" s="354"/>
      <c r="AB1014" s="354"/>
      <c r="AC1014" s="354"/>
      <c r="AD1014" s="354"/>
      <c r="AE1014" s="354"/>
      <c r="AF1014" s="354"/>
      <c r="AG1014" s="354"/>
      <c r="AH1014" s="354"/>
      <c r="AI1014" s="354"/>
      <c r="AJ1014" s="354"/>
      <c r="AK1014" s="354"/>
      <c r="AL1014" s="354"/>
      <c r="AM1014" s="354"/>
      <c r="AN1014" s="354"/>
      <c r="AO1014" s="354"/>
      <c r="AP1014" s="354"/>
      <c r="AQ1014" s="354"/>
      <c r="AR1014" s="354"/>
      <c r="AS1014" s="354"/>
      <c r="AT1014" s="354"/>
      <c r="AU1014" s="354"/>
      <c r="AV1014" s="354"/>
      <c r="AW1014" s="354"/>
    </row>
    <row r="1015" spans="1:49">
      <c r="A1015" s="354"/>
      <c r="B1015" s="354"/>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Y1015" s="354"/>
      <c r="Z1015" s="354"/>
      <c r="AA1015" s="354"/>
      <c r="AB1015" s="354"/>
      <c r="AC1015" s="354"/>
      <c r="AD1015" s="354"/>
      <c r="AE1015" s="354"/>
      <c r="AF1015" s="354"/>
      <c r="AG1015" s="354"/>
      <c r="AH1015" s="354"/>
      <c r="AI1015" s="354"/>
      <c r="AJ1015" s="354"/>
      <c r="AK1015" s="354"/>
      <c r="AL1015" s="354"/>
      <c r="AM1015" s="354"/>
      <c r="AN1015" s="354"/>
      <c r="AO1015" s="354"/>
      <c r="AP1015" s="354"/>
      <c r="AQ1015" s="354"/>
      <c r="AR1015" s="354"/>
      <c r="AS1015" s="354"/>
      <c r="AT1015" s="354"/>
      <c r="AU1015" s="354"/>
      <c r="AV1015" s="354"/>
      <c r="AW1015" s="354"/>
    </row>
    <row r="1016" spans="1:49">
      <c r="A1016" s="354"/>
      <c r="B1016" s="354"/>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Y1016" s="354"/>
      <c r="Z1016" s="354"/>
      <c r="AA1016" s="354"/>
      <c r="AB1016" s="354"/>
      <c r="AC1016" s="354"/>
      <c r="AD1016" s="354"/>
      <c r="AE1016" s="354"/>
      <c r="AF1016" s="354"/>
      <c r="AG1016" s="354"/>
      <c r="AH1016" s="354"/>
      <c r="AI1016" s="354"/>
      <c r="AJ1016" s="354"/>
      <c r="AK1016" s="354"/>
      <c r="AL1016" s="354"/>
      <c r="AM1016" s="354"/>
      <c r="AN1016" s="354"/>
      <c r="AO1016" s="354"/>
      <c r="AP1016" s="354"/>
      <c r="AQ1016" s="354"/>
      <c r="AR1016" s="354"/>
      <c r="AS1016" s="354"/>
      <c r="AT1016" s="354"/>
      <c r="AU1016" s="354"/>
      <c r="AV1016" s="354"/>
      <c r="AW1016" s="354"/>
    </row>
    <row r="1017" spans="1:49">
      <c r="A1017" s="354"/>
      <c r="B1017" s="354"/>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Y1017" s="354"/>
      <c r="Z1017" s="354"/>
      <c r="AA1017" s="354"/>
      <c r="AB1017" s="354"/>
      <c r="AC1017" s="354"/>
      <c r="AD1017" s="354"/>
      <c r="AE1017" s="354"/>
      <c r="AF1017" s="354"/>
      <c r="AG1017" s="354"/>
      <c r="AH1017" s="354"/>
      <c r="AI1017" s="354"/>
      <c r="AJ1017" s="354"/>
      <c r="AK1017" s="354"/>
      <c r="AL1017" s="354"/>
      <c r="AM1017" s="354"/>
      <c r="AN1017" s="354"/>
      <c r="AO1017" s="354"/>
      <c r="AP1017" s="354"/>
      <c r="AQ1017" s="354"/>
      <c r="AR1017" s="354"/>
      <c r="AS1017" s="354"/>
      <c r="AT1017" s="354"/>
      <c r="AU1017" s="354"/>
      <c r="AV1017" s="354"/>
      <c r="AW1017" s="354"/>
    </row>
    <row r="1018" spans="1:49">
      <c r="A1018" s="354"/>
      <c r="B1018" s="354"/>
      <c r="C1018" s="354"/>
      <c r="D1018" s="354"/>
      <c r="E1018" s="354"/>
      <c r="F1018" s="354"/>
      <c r="G1018" s="354"/>
      <c r="H1018" s="354"/>
      <c r="I1018" s="354"/>
      <c r="J1018" s="354"/>
      <c r="K1018" s="354"/>
      <c r="L1018" s="354"/>
      <c r="M1018" s="354"/>
      <c r="N1018" s="354"/>
      <c r="O1018" s="354"/>
      <c r="P1018" s="354"/>
      <c r="Q1018" s="354"/>
      <c r="R1018" s="354"/>
      <c r="S1018" s="354"/>
      <c r="T1018" s="354"/>
      <c r="U1018" s="354"/>
      <c r="V1018" s="354"/>
      <c r="W1018" s="354"/>
      <c r="X1018" s="354"/>
      <c r="Y1018" s="354"/>
      <c r="Z1018" s="354"/>
      <c r="AA1018" s="354"/>
      <c r="AB1018" s="354"/>
      <c r="AC1018" s="354"/>
      <c r="AD1018" s="354"/>
      <c r="AE1018" s="354"/>
      <c r="AF1018" s="354"/>
      <c r="AG1018" s="354"/>
      <c r="AH1018" s="354"/>
      <c r="AI1018" s="354"/>
      <c r="AJ1018" s="354"/>
      <c r="AK1018" s="354"/>
      <c r="AL1018" s="354"/>
      <c r="AM1018" s="354"/>
      <c r="AN1018" s="354"/>
      <c r="AO1018" s="354"/>
      <c r="AP1018" s="354"/>
      <c r="AQ1018" s="354"/>
      <c r="AR1018" s="354"/>
      <c r="AS1018" s="354"/>
      <c r="AT1018" s="354"/>
      <c r="AU1018" s="354"/>
      <c r="AV1018" s="354"/>
      <c r="AW1018" s="354"/>
    </row>
    <row r="1019" spans="1:49">
      <c r="A1019" s="354"/>
      <c r="B1019" s="354"/>
      <c r="C1019" s="354"/>
      <c r="D1019" s="354"/>
      <c r="E1019" s="354"/>
      <c r="F1019" s="354"/>
      <c r="G1019" s="354"/>
      <c r="H1019" s="354"/>
      <c r="I1019" s="354"/>
      <c r="J1019" s="354"/>
      <c r="K1019" s="354"/>
      <c r="L1019" s="354"/>
      <c r="M1019" s="354"/>
      <c r="N1019" s="354"/>
      <c r="O1019" s="354"/>
      <c r="P1019" s="354"/>
      <c r="Q1019" s="354"/>
      <c r="R1019" s="354"/>
      <c r="S1019" s="354"/>
      <c r="T1019" s="354"/>
      <c r="U1019" s="354"/>
      <c r="V1019" s="354"/>
      <c r="W1019" s="354"/>
      <c r="X1019" s="354"/>
      <c r="Y1019" s="354"/>
      <c r="Z1019" s="354"/>
      <c r="AA1019" s="354"/>
      <c r="AB1019" s="354"/>
      <c r="AC1019" s="354"/>
      <c r="AD1019" s="354"/>
      <c r="AE1019" s="354"/>
      <c r="AF1019" s="354"/>
      <c r="AG1019" s="354"/>
      <c r="AH1019" s="354"/>
      <c r="AI1019" s="354"/>
      <c r="AJ1019" s="354"/>
      <c r="AK1019" s="354"/>
      <c r="AL1019" s="354"/>
      <c r="AM1019" s="354"/>
      <c r="AN1019" s="354"/>
      <c r="AO1019" s="354"/>
      <c r="AP1019" s="354"/>
      <c r="AQ1019" s="354"/>
      <c r="AR1019" s="354"/>
      <c r="AS1019" s="354"/>
      <c r="AT1019" s="354"/>
      <c r="AU1019" s="354"/>
      <c r="AV1019" s="354"/>
      <c r="AW1019" s="354"/>
    </row>
    <row r="1020" spans="1:49">
      <c r="A1020" s="354"/>
      <c r="B1020" s="354"/>
      <c r="C1020" s="354"/>
      <c r="D1020" s="354"/>
      <c r="E1020" s="354"/>
      <c r="F1020" s="354"/>
      <c r="G1020" s="354"/>
      <c r="H1020" s="354"/>
      <c r="I1020" s="354"/>
      <c r="J1020" s="354"/>
      <c r="K1020" s="354"/>
      <c r="L1020" s="354"/>
      <c r="M1020" s="354"/>
      <c r="N1020" s="354"/>
      <c r="O1020" s="354"/>
      <c r="P1020" s="354"/>
      <c r="Q1020" s="354"/>
      <c r="R1020" s="354"/>
      <c r="S1020" s="354"/>
      <c r="T1020" s="354"/>
      <c r="U1020" s="354"/>
      <c r="V1020" s="354"/>
      <c r="W1020" s="354"/>
      <c r="X1020" s="354"/>
      <c r="Y1020" s="354"/>
      <c r="Z1020" s="354"/>
      <c r="AA1020" s="354"/>
      <c r="AB1020" s="354"/>
      <c r="AC1020" s="354"/>
      <c r="AD1020" s="354"/>
      <c r="AE1020" s="354"/>
      <c r="AF1020" s="354"/>
      <c r="AG1020" s="354"/>
      <c r="AH1020" s="354"/>
      <c r="AI1020" s="354"/>
      <c r="AJ1020" s="354"/>
      <c r="AK1020" s="354"/>
      <c r="AL1020" s="354"/>
      <c r="AM1020" s="354"/>
      <c r="AN1020" s="354"/>
      <c r="AO1020" s="354"/>
      <c r="AP1020" s="354"/>
      <c r="AQ1020" s="354"/>
      <c r="AR1020" s="354"/>
      <c r="AS1020" s="354"/>
      <c r="AT1020" s="354"/>
      <c r="AU1020" s="354"/>
      <c r="AV1020" s="354"/>
      <c r="AW1020" s="354"/>
    </row>
    <row r="1021" spans="1:49">
      <c r="A1021" s="354"/>
      <c r="B1021" s="354"/>
      <c r="C1021" s="354"/>
      <c r="D1021" s="354"/>
      <c r="E1021" s="354"/>
      <c r="F1021" s="354"/>
      <c r="G1021" s="354"/>
      <c r="H1021" s="354"/>
      <c r="I1021" s="354"/>
      <c r="J1021" s="354"/>
      <c r="K1021" s="354"/>
      <c r="L1021" s="354"/>
      <c r="M1021" s="354"/>
      <c r="N1021" s="354"/>
      <c r="O1021" s="354"/>
      <c r="P1021" s="354"/>
      <c r="Q1021" s="354"/>
      <c r="R1021" s="354"/>
      <c r="S1021" s="354"/>
      <c r="T1021" s="354"/>
      <c r="U1021" s="354"/>
      <c r="V1021" s="354"/>
      <c r="W1021" s="354"/>
      <c r="X1021" s="354"/>
      <c r="Y1021" s="354"/>
      <c r="Z1021" s="354"/>
      <c r="AA1021" s="354"/>
      <c r="AB1021" s="354"/>
      <c r="AC1021" s="354"/>
      <c r="AD1021" s="354"/>
      <c r="AE1021" s="354"/>
      <c r="AF1021" s="354"/>
      <c r="AG1021" s="354"/>
      <c r="AH1021" s="354"/>
      <c r="AI1021" s="354"/>
      <c r="AJ1021" s="354"/>
      <c r="AK1021" s="354"/>
      <c r="AL1021" s="354"/>
      <c r="AM1021" s="354"/>
      <c r="AN1021" s="354"/>
      <c r="AO1021" s="354"/>
      <c r="AP1021" s="354"/>
      <c r="AQ1021" s="354"/>
      <c r="AR1021" s="354"/>
      <c r="AS1021" s="354"/>
      <c r="AT1021" s="354"/>
      <c r="AU1021" s="354"/>
      <c r="AV1021" s="354"/>
      <c r="AW1021" s="354"/>
    </row>
    <row r="1022" spans="1:49">
      <c r="A1022" s="354"/>
      <c r="B1022" s="354"/>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Y1022" s="354"/>
      <c r="Z1022" s="354"/>
      <c r="AA1022" s="354"/>
      <c r="AB1022" s="354"/>
      <c r="AC1022" s="354"/>
      <c r="AD1022" s="354"/>
      <c r="AE1022" s="354"/>
      <c r="AF1022" s="354"/>
      <c r="AG1022" s="354"/>
      <c r="AH1022" s="354"/>
      <c r="AI1022" s="354"/>
      <c r="AJ1022" s="354"/>
      <c r="AK1022" s="354"/>
      <c r="AL1022" s="354"/>
      <c r="AM1022" s="354"/>
      <c r="AN1022" s="354"/>
      <c r="AO1022" s="354"/>
      <c r="AP1022" s="354"/>
      <c r="AQ1022" s="354"/>
      <c r="AR1022" s="354"/>
      <c r="AS1022" s="354"/>
      <c r="AT1022" s="354"/>
      <c r="AU1022" s="354"/>
      <c r="AV1022" s="354"/>
      <c r="AW1022" s="354"/>
    </row>
    <row r="1023" spans="1:49">
      <c r="A1023" s="354"/>
      <c r="B1023" s="354"/>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Y1023" s="354"/>
      <c r="Z1023" s="354"/>
      <c r="AA1023" s="354"/>
      <c r="AB1023" s="354"/>
      <c r="AC1023" s="354"/>
      <c r="AD1023" s="354"/>
      <c r="AE1023" s="354"/>
      <c r="AF1023" s="354"/>
      <c r="AG1023" s="354"/>
      <c r="AH1023" s="354"/>
      <c r="AI1023" s="354"/>
      <c r="AJ1023" s="354"/>
      <c r="AK1023" s="354"/>
      <c r="AL1023" s="354"/>
      <c r="AM1023" s="354"/>
      <c r="AN1023" s="354"/>
      <c r="AO1023" s="354"/>
      <c r="AP1023" s="354"/>
      <c r="AQ1023" s="354"/>
      <c r="AR1023" s="354"/>
      <c r="AS1023" s="354"/>
      <c r="AT1023" s="354"/>
      <c r="AU1023" s="354"/>
      <c r="AV1023" s="354"/>
      <c r="AW1023" s="354"/>
    </row>
    <row r="1024" spans="1:49">
      <c r="A1024" s="354"/>
      <c r="B1024" s="354"/>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Y1024" s="354"/>
      <c r="Z1024" s="354"/>
      <c r="AA1024" s="354"/>
      <c r="AB1024" s="354"/>
      <c r="AC1024" s="354"/>
      <c r="AD1024" s="354"/>
      <c r="AE1024" s="354"/>
      <c r="AF1024" s="354"/>
      <c r="AG1024" s="354"/>
      <c r="AH1024" s="354"/>
      <c r="AI1024" s="354"/>
      <c r="AJ1024" s="354"/>
      <c r="AK1024" s="354"/>
      <c r="AL1024" s="354"/>
      <c r="AM1024" s="354"/>
      <c r="AN1024" s="354"/>
      <c r="AO1024" s="354"/>
      <c r="AP1024" s="354"/>
      <c r="AQ1024" s="354"/>
      <c r="AR1024" s="354"/>
      <c r="AS1024" s="354"/>
      <c r="AT1024" s="354"/>
      <c r="AU1024" s="354"/>
      <c r="AV1024" s="354"/>
      <c r="AW1024" s="354"/>
    </row>
    <row r="1025" spans="1:49">
      <c r="A1025" s="354"/>
      <c r="B1025" s="354"/>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Y1025" s="354"/>
      <c r="Z1025" s="354"/>
      <c r="AA1025" s="354"/>
      <c r="AB1025" s="354"/>
      <c r="AC1025" s="354"/>
      <c r="AD1025" s="354"/>
      <c r="AE1025" s="354"/>
      <c r="AF1025" s="354"/>
      <c r="AG1025" s="354"/>
      <c r="AH1025" s="354"/>
      <c r="AI1025" s="354"/>
      <c r="AJ1025" s="354"/>
      <c r="AK1025" s="354"/>
      <c r="AL1025" s="354"/>
      <c r="AM1025" s="354"/>
      <c r="AN1025" s="354"/>
      <c r="AO1025" s="354"/>
      <c r="AP1025" s="354"/>
      <c r="AQ1025" s="354"/>
      <c r="AR1025" s="354"/>
      <c r="AS1025" s="354"/>
      <c r="AT1025" s="354"/>
      <c r="AU1025" s="354"/>
      <c r="AV1025" s="354"/>
      <c r="AW1025" s="354"/>
    </row>
    <row r="1026" spans="1:49">
      <c r="A1026" s="354"/>
      <c r="B1026" s="354"/>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Y1026" s="354"/>
      <c r="Z1026" s="354"/>
      <c r="AA1026" s="354"/>
      <c r="AB1026" s="354"/>
      <c r="AC1026" s="354"/>
      <c r="AD1026" s="354"/>
      <c r="AE1026" s="354"/>
      <c r="AF1026" s="354"/>
      <c r="AG1026" s="354"/>
      <c r="AH1026" s="354"/>
      <c r="AI1026" s="354"/>
      <c r="AJ1026" s="354"/>
      <c r="AK1026" s="354"/>
      <c r="AL1026" s="354"/>
      <c r="AM1026" s="354"/>
      <c r="AN1026" s="354"/>
      <c r="AO1026" s="354"/>
      <c r="AP1026" s="354"/>
      <c r="AQ1026" s="354"/>
      <c r="AR1026" s="354"/>
      <c r="AS1026" s="354"/>
      <c r="AT1026" s="354"/>
      <c r="AU1026" s="354"/>
      <c r="AV1026" s="354"/>
      <c r="AW1026" s="354"/>
    </row>
    <row r="1027" spans="1:49">
      <c r="A1027" s="354"/>
      <c r="B1027" s="354"/>
      <c r="C1027" s="354"/>
      <c r="D1027" s="354"/>
      <c r="E1027" s="354"/>
      <c r="F1027" s="354"/>
      <c r="G1027" s="354"/>
      <c r="H1027" s="354"/>
      <c r="I1027" s="354"/>
      <c r="J1027" s="354"/>
      <c r="K1027" s="354"/>
      <c r="L1027" s="354"/>
      <c r="M1027" s="354"/>
      <c r="N1027" s="354"/>
      <c r="O1027" s="354"/>
      <c r="P1027" s="354"/>
      <c r="Q1027" s="354"/>
      <c r="R1027" s="354"/>
      <c r="S1027" s="354"/>
      <c r="T1027" s="354"/>
      <c r="U1027" s="354"/>
      <c r="V1027" s="354"/>
      <c r="W1027" s="354"/>
      <c r="X1027" s="354"/>
      <c r="Y1027" s="354"/>
      <c r="Z1027" s="354"/>
      <c r="AA1027" s="354"/>
      <c r="AB1027" s="354"/>
      <c r="AC1027" s="354"/>
      <c r="AD1027" s="354"/>
      <c r="AE1027" s="354"/>
      <c r="AF1027" s="354"/>
      <c r="AG1027" s="354"/>
      <c r="AH1027" s="354"/>
      <c r="AI1027" s="354"/>
      <c r="AJ1027" s="354"/>
      <c r="AK1027" s="354"/>
      <c r="AL1027" s="354"/>
      <c r="AM1027" s="354"/>
      <c r="AN1027" s="354"/>
      <c r="AO1027" s="354"/>
      <c r="AP1027" s="354"/>
      <c r="AQ1027" s="354"/>
      <c r="AR1027" s="354"/>
      <c r="AS1027" s="354"/>
      <c r="AT1027" s="354"/>
      <c r="AU1027" s="354"/>
      <c r="AV1027" s="354"/>
      <c r="AW1027" s="354"/>
    </row>
    <row r="1028" spans="1:49">
      <c r="A1028" s="354"/>
      <c r="B1028" s="354"/>
      <c r="C1028" s="354"/>
      <c r="D1028" s="354"/>
      <c r="E1028" s="354"/>
      <c r="F1028" s="354"/>
      <c r="G1028" s="354"/>
      <c r="H1028" s="354"/>
      <c r="I1028" s="354"/>
      <c r="J1028" s="354"/>
      <c r="K1028" s="354"/>
      <c r="L1028" s="354"/>
      <c r="M1028" s="354"/>
      <c r="N1028" s="354"/>
      <c r="O1028" s="354"/>
      <c r="P1028" s="354"/>
      <c r="Q1028" s="354"/>
      <c r="R1028" s="354"/>
      <c r="S1028" s="354"/>
      <c r="T1028" s="354"/>
      <c r="U1028" s="354"/>
      <c r="V1028" s="354"/>
      <c r="W1028" s="354"/>
      <c r="X1028" s="354"/>
      <c r="Y1028" s="354"/>
      <c r="Z1028" s="354"/>
      <c r="AA1028" s="354"/>
      <c r="AB1028" s="354"/>
      <c r="AC1028" s="354"/>
      <c r="AD1028" s="354"/>
      <c r="AE1028" s="354"/>
      <c r="AF1028" s="354"/>
      <c r="AG1028" s="354"/>
      <c r="AH1028" s="354"/>
      <c r="AI1028" s="354"/>
      <c r="AJ1028" s="354"/>
      <c r="AK1028" s="354"/>
      <c r="AL1028" s="354"/>
      <c r="AM1028" s="354"/>
      <c r="AN1028" s="354"/>
      <c r="AO1028" s="354"/>
      <c r="AP1028" s="354"/>
      <c r="AQ1028" s="354"/>
      <c r="AR1028" s="354"/>
      <c r="AS1028" s="354"/>
      <c r="AT1028" s="354"/>
      <c r="AU1028" s="354"/>
      <c r="AV1028" s="354"/>
      <c r="AW1028" s="354"/>
    </row>
    <row r="1029" spans="1:49">
      <c r="A1029" s="354"/>
      <c r="B1029" s="354"/>
      <c r="C1029" s="354"/>
      <c r="D1029" s="354"/>
      <c r="E1029" s="354"/>
      <c r="F1029" s="354"/>
      <c r="G1029" s="354"/>
      <c r="H1029" s="354"/>
      <c r="I1029" s="354"/>
      <c r="J1029" s="354"/>
      <c r="K1029" s="354"/>
      <c r="L1029" s="354"/>
      <c r="M1029" s="354"/>
      <c r="N1029" s="354"/>
      <c r="O1029" s="354"/>
      <c r="P1029" s="354"/>
      <c r="Q1029" s="354"/>
      <c r="R1029" s="354"/>
      <c r="S1029" s="354"/>
      <c r="T1029" s="354"/>
      <c r="U1029" s="354"/>
      <c r="V1029" s="354"/>
      <c r="W1029" s="354"/>
      <c r="X1029" s="354"/>
      <c r="Y1029" s="354"/>
      <c r="Z1029" s="354"/>
      <c r="AA1029" s="354"/>
      <c r="AB1029" s="354"/>
      <c r="AC1029" s="354"/>
      <c r="AD1029" s="354"/>
      <c r="AE1029" s="354"/>
      <c r="AF1029" s="354"/>
      <c r="AG1029" s="354"/>
      <c r="AH1029" s="354"/>
      <c r="AI1029" s="354"/>
      <c r="AJ1029" s="354"/>
      <c r="AK1029" s="354"/>
      <c r="AL1029" s="354"/>
      <c r="AM1029" s="354"/>
      <c r="AN1029" s="354"/>
      <c r="AO1029" s="354"/>
      <c r="AP1029" s="354"/>
      <c r="AQ1029" s="354"/>
      <c r="AR1029" s="354"/>
      <c r="AS1029" s="354"/>
      <c r="AT1029" s="354"/>
      <c r="AU1029" s="354"/>
      <c r="AV1029" s="354"/>
      <c r="AW1029" s="354"/>
    </row>
    <row r="1030" spans="1:49">
      <c r="A1030" s="354"/>
      <c r="B1030" s="354"/>
      <c r="C1030" s="354"/>
      <c r="D1030" s="354"/>
      <c r="E1030" s="354"/>
      <c r="F1030" s="354"/>
      <c r="G1030" s="354"/>
      <c r="H1030" s="354"/>
      <c r="I1030" s="354"/>
      <c r="J1030" s="354"/>
      <c r="K1030" s="354"/>
      <c r="L1030" s="354"/>
      <c r="M1030" s="354"/>
      <c r="N1030" s="354"/>
      <c r="O1030" s="354"/>
      <c r="P1030" s="354"/>
      <c r="Q1030" s="354"/>
      <c r="R1030" s="354"/>
      <c r="S1030" s="354"/>
      <c r="T1030" s="354"/>
      <c r="U1030" s="354"/>
      <c r="V1030" s="354"/>
      <c r="W1030" s="354"/>
      <c r="X1030" s="354"/>
      <c r="Y1030" s="354"/>
      <c r="Z1030" s="354"/>
      <c r="AA1030" s="354"/>
      <c r="AB1030" s="354"/>
      <c r="AC1030" s="354"/>
      <c r="AD1030" s="354"/>
      <c r="AE1030" s="354"/>
      <c r="AF1030" s="354"/>
      <c r="AG1030" s="354"/>
      <c r="AH1030" s="354"/>
      <c r="AI1030" s="354"/>
      <c r="AJ1030" s="354"/>
      <c r="AK1030" s="354"/>
      <c r="AL1030" s="354"/>
      <c r="AM1030" s="354"/>
      <c r="AN1030" s="354"/>
      <c r="AO1030" s="354"/>
      <c r="AP1030" s="354"/>
      <c r="AQ1030" s="354"/>
      <c r="AR1030" s="354"/>
      <c r="AS1030" s="354"/>
      <c r="AT1030" s="354"/>
      <c r="AU1030" s="354"/>
      <c r="AV1030" s="354"/>
      <c r="AW1030" s="354"/>
    </row>
    <row r="1031" spans="1:49">
      <c r="A1031" s="354"/>
      <c r="B1031" s="354"/>
      <c r="C1031" s="354"/>
      <c r="D1031" s="354"/>
      <c r="E1031" s="354"/>
      <c r="F1031" s="354"/>
      <c r="G1031" s="354"/>
      <c r="H1031" s="354"/>
      <c r="I1031" s="354"/>
      <c r="J1031" s="354"/>
      <c r="K1031" s="354"/>
      <c r="L1031" s="354"/>
      <c r="M1031" s="354"/>
      <c r="N1031" s="354"/>
      <c r="O1031" s="354"/>
      <c r="P1031" s="354"/>
      <c r="Q1031" s="354"/>
      <c r="R1031" s="354"/>
      <c r="S1031" s="354"/>
      <c r="T1031" s="354"/>
      <c r="U1031" s="354"/>
      <c r="V1031" s="354"/>
      <c r="W1031" s="354"/>
      <c r="X1031" s="354"/>
      <c r="Y1031" s="354"/>
      <c r="Z1031" s="354"/>
      <c r="AA1031" s="354"/>
      <c r="AB1031" s="354"/>
      <c r="AC1031" s="354"/>
      <c r="AD1031" s="354"/>
      <c r="AE1031" s="354"/>
      <c r="AF1031" s="354"/>
      <c r="AG1031" s="354"/>
      <c r="AH1031" s="354"/>
      <c r="AI1031" s="354"/>
      <c r="AJ1031" s="354"/>
      <c r="AK1031" s="354"/>
      <c r="AL1031" s="354"/>
      <c r="AM1031" s="354"/>
      <c r="AN1031" s="354"/>
      <c r="AO1031" s="354"/>
      <c r="AP1031" s="354"/>
      <c r="AQ1031" s="354"/>
      <c r="AR1031" s="354"/>
      <c r="AS1031" s="354"/>
      <c r="AT1031" s="354"/>
      <c r="AU1031" s="354"/>
      <c r="AV1031" s="354"/>
      <c r="AW1031" s="354"/>
    </row>
    <row r="1032" spans="1:49">
      <c r="A1032" s="354"/>
      <c r="B1032" s="354"/>
      <c r="C1032" s="354"/>
      <c r="D1032" s="354"/>
      <c r="E1032" s="354"/>
      <c r="F1032" s="354"/>
      <c r="G1032" s="354"/>
      <c r="H1032" s="354"/>
      <c r="I1032" s="354"/>
      <c r="J1032" s="354"/>
      <c r="K1032" s="354"/>
      <c r="L1032" s="354"/>
      <c r="M1032" s="354"/>
      <c r="N1032" s="354"/>
      <c r="O1032" s="354"/>
      <c r="P1032" s="354"/>
      <c r="Q1032" s="354"/>
      <c r="R1032" s="354"/>
      <c r="S1032" s="354"/>
      <c r="T1032" s="354"/>
      <c r="U1032" s="354"/>
      <c r="V1032" s="354"/>
      <c r="W1032" s="354"/>
      <c r="X1032" s="354"/>
      <c r="Y1032" s="354"/>
      <c r="Z1032" s="354"/>
      <c r="AA1032" s="354"/>
      <c r="AB1032" s="354"/>
      <c r="AC1032" s="354"/>
      <c r="AD1032" s="354"/>
      <c r="AE1032" s="354"/>
      <c r="AF1032" s="354"/>
      <c r="AG1032" s="354"/>
      <c r="AH1032" s="354"/>
      <c r="AI1032" s="354"/>
      <c r="AJ1032" s="354"/>
      <c r="AK1032" s="354"/>
      <c r="AL1032" s="354"/>
      <c r="AM1032" s="354"/>
      <c r="AN1032" s="354"/>
      <c r="AO1032" s="354"/>
      <c r="AP1032" s="354"/>
      <c r="AQ1032" s="354"/>
      <c r="AR1032" s="354"/>
      <c r="AS1032" s="354"/>
      <c r="AT1032" s="354"/>
      <c r="AU1032" s="354"/>
      <c r="AV1032" s="354"/>
      <c r="AW1032" s="354"/>
    </row>
    <row r="1033" spans="1:49">
      <c r="A1033" s="354"/>
      <c r="B1033" s="354"/>
      <c r="C1033" s="354"/>
      <c r="D1033" s="354"/>
      <c r="E1033" s="354"/>
      <c r="F1033" s="354"/>
      <c r="G1033" s="354"/>
      <c r="H1033" s="354"/>
      <c r="I1033" s="354"/>
      <c r="J1033" s="354"/>
      <c r="K1033" s="354"/>
      <c r="L1033" s="354"/>
      <c r="M1033" s="354"/>
      <c r="N1033" s="354"/>
      <c r="O1033" s="354"/>
      <c r="P1033" s="354"/>
      <c r="Q1033" s="354"/>
      <c r="R1033" s="354"/>
      <c r="S1033" s="354"/>
      <c r="T1033" s="354"/>
      <c r="U1033" s="354"/>
      <c r="V1033" s="354"/>
      <c r="W1033" s="354"/>
      <c r="X1033" s="354"/>
      <c r="Y1033" s="354"/>
      <c r="Z1033" s="354"/>
      <c r="AA1033" s="354"/>
      <c r="AB1033" s="354"/>
      <c r="AC1033" s="354"/>
      <c r="AD1033" s="354"/>
      <c r="AE1033" s="354"/>
      <c r="AF1033" s="354"/>
      <c r="AG1033" s="354"/>
      <c r="AH1033" s="354"/>
      <c r="AI1033" s="354"/>
      <c r="AJ1033" s="354"/>
      <c r="AK1033" s="354"/>
      <c r="AL1033" s="354"/>
      <c r="AM1033" s="354"/>
      <c r="AN1033" s="354"/>
      <c r="AO1033" s="354"/>
      <c r="AP1033" s="354"/>
      <c r="AQ1033" s="354"/>
      <c r="AR1033" s="354"/>
      <c r="AS1033" s="354"/>
      <c r="AT1033" s="354"/>
      <c r="AU1033" s="354"/>
      <c r="AV1033" s="354"/>
      <c r="AW1033" s="354"/>
    </row>
    <row r="1034" spans="1:49">
      <c r="A1034" s="354"/>
      <c r="B1034" s="354"/>
      <c r="C1034" s="354"/>
      <c r="D1034" s="354"/>
      <c r="E1034" s="354"/>
      <c r="F1034" s="354"/>
      <c r="G1034" s="354"/>
      <c r="H1034" s="354"/>
      <c r="I1034" s="354"/>
      <c r="J1034" s="354"/>
      <c r="K1034" s="354"/>
      <c r="L1034" s="354"/>
      <c r="M1034" s="354"/>
      <c r="N1034" s="354"/>
      <c r="O1034" s="354"/>
      <c r="P1034" s="354"/>
      <c r="Q1034" s="354"/>
      <c r="R1034" s="354"/>
      <c r="S1034" s="354"/>
      <c r="T1034" s="354"/>
      <c r="U1034" s="354"/>
      <c r="V1034" s="354"/>
      <c r="W1034" s="354"/>
      <c r="X1034" s="354"/>
      <c r="Y1034" s="354"/>
      <c r="Z1034" s="354"/>
      <c r="AA1034" s="354"/>
      <c r="AB1034" s="354"/>
      <c r="AC1034" s="354"/>
      <c r="AD1034" s="354"/>
      <c r="AE1034" s="354"/>
      <c r="AF1034" s="354"/>
      <c r="AG1034" s="354"/>
      <c r="AH1034" s="354"/>
      <c r="AI1034" s="354"/>
      <c r="AJ1034" s="354"/>
      <c r="AK1034" s="354"/>
      <c r="AL1034" s="354"/>
      <c r="AM1034" s="354"/>
      <c r="AN1034" s="354"/>
      <c r="AO1034" s="354"/>
      <c r="AP1034" s="354"/>
      <c r="AQ1034" s="354"/>
      <c r="AR1034" s="354"/>
      <c r="AS1034" s="354"/>
      <c r="AT1034" s="354"/>
      <c r="AU1034" s="354"/>
      <c r="AV1034" s="354"/>
      <c r="AW1034" s="354"/>
    </row>
    <row r="1035" spans="1:49">
      <c r="A1035" s="354"/>
      <c r="B1035" s="354"/>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Y1035" s="354"/>
      <c r="Z1035" s="354"/>
      <c r="AA1035" s="354"/>
      <c r="AB1035" s="354"/>
      <c r="AC1035" s="354"/>
      <c r="AD1035" s="354"/>
      <c r="AE1035" s="354"/>
      <c r="AF1035" s="354"/>
      <c r="AG1035" s="354"/>
      <c r="AH1035" s="354"/>
      <c r="AI1035" s="354"/>
      <c r="AJ1035" s="354"/>
      <c r="AK1035" s="354"/>
      <c r="AL1035" s="354"/>
      <c r="AM1035" s="354"/>
      <c r="AN1035" s="354"/>
      <c r="AO1035" s="354"/>
      <c r="AP1035" s="354"/>
      <c r="AQ1035" s="354"/>
      <c r="AR1035" s="354"/>
      <c r="AS1035" s="354"/>
      <c r="AT1035" s="354"/>
      <c r="AU1035" s="354"/>
      <c r="AV1035" s="354"/>
      <c r="AW1035" s="354"/>
    </row>
    <row r="1036" spans="1:49">
      <c r="A1036" s="354"/>
      <c r="B1036" s="354"/>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Y1036" s="354"/>
      <c r="Z1036" s="354"/>
      <c r="AA1036" s="354"/>
      <c r="AB1036" s="354"/>
      <c r="AC1036" s="354"/>
      <c r="AD1036" s="354"/>
      <c r="AE1036" s="354"/>
      <c r="AF1036" s="354"/>
      <c r="AG1036" s="354"/>
      <c r="AH1036" s="354"/>
      <c r="AI1036" s="354"/>
      <c r="AJ1036" s="354"/>
      <c r="AK1036" s="354"/>
      <c r="AL1036" s="354"/>
      <c r="AM1036" s="354"/>
      <c r="AN1036" s="354"/>
      <c r="AO1036" s="354"/>
      <c r="AP1036" s="354"/>
      <c r="AQ1036" s="354"/>
      <c r="AR1036" s="354"/>
      <c r="AS1036" s="354"/>
      <c r="AT1036" s="354"/>
      <c r="AU1036" s="354"/>
      <c r="AV1036" s="354"/>
      <c r="AW1036" s="354"/>
    </row>
    <row r="1037" spans="1:49">
      <c r="A1037" s="354"/>
      <c r="B1037" s="354"/>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Y1037" s="354"/>
      <c r="Z1037" s="354"/>
      <c r="AA1037" s="354"/>
      <c r="AB1037" s="354"/>
      <c r="AC1037" s="354"/>
      <c r="AD1037" s="354"/>
      <c r="AE1037" s="354"/>
      <c r="AF1037" s="354"/>
      <c r="AG1037" s="354"/>
      <c r="AH1037" s="354"/>
      <c r="AI1037" s="354"/>
      <c r="AJ1037" s="354"/>
      <c r="AK1037" s="354"/>
      <c r="AL1037" s="354"/>
      <c r="AM1037" s="354"/>
      <c r="AN1037" s="354"/>
      <c r="AO1037" s="354"/>
      <c r="AP1037" s="354"/>
      <c r="AQ1037" s="354"/>
      <c r="AR1037" s="354"/>
      <c r="AS1037" s="354"/>
      <c r="AT1037" s="354"/>
      <c r="AU1037" s="354"/>
      <c r="AV1037" s="354"/>
      <c r="AW1037" s="354"/>
    </row>
    <row r="1038" spans="1:49">
      <c r="A1038" s="354"/>
      <c r="B1038" s="354"/>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Y1038" s="354"/>
      <c r="Z1038" s="354"/>
      <c r="AA1038" s="354"/>
      <c r="AB1038" s="354"/>
      <c r="AC1038" s="354"/>
      <c r="AD1038" s="354"/>
      <c r="AE1038" s="354"/>
      <c r="AF1038" s="354"/>
      <c r="AG1038" s="354"/>
      <c r="AH1038" s="354"/>
      <c r="AI1038" s="354"/>
      <c r="AJ1038" s="354"/>
      <c r="AK1038" s="354"/>
      <c r="AL1038" s="354"/>
      <c r="AM1038" s="354"/>
      <c r="AN1038" s="354"/>
      <c r="AO1038" s="354"/>
      <c r="AP1038" s="354"/>
      <c r="AQ1038" s="354"/>
      <c r="AR1038" s="354"/>
      <c r="AS1038" s="354"/>
      <c r="AT1038" s="354"/>
      <c r="AU1038" s="354"/>
      <c r="AV1038" s="354"/>
      <c r="AW1038" s="354"/>
    </row>
    <row r="1039" spans="1:49">
      <c r="A1039" s="354"/>
      <c r="B1039" s="354"/>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Y1039" s="354"/>
      <c r="Z1039" s="354"/>
      <c r="AA1039" s="354"/>
      <c r="AB1039" s="354"/>
      <c r="AC1039" s="354"/>
      <c r="AD1039" s="354"/>
      <c r="AE1039" s="354"/>
      <c r="AF1039" s="354"/>
      <c r="AG1039" s="354"/>
      <c r="AH1039" s="354"/>
      <c r="AI1039" s="354"/>
      <c r="AJ1039" s="354"/>
      <c r="AK1039" s="354"/>
      <c r="AL1039" s="354"/>
      <c r="AM1039" s="354"/>
      <c r="AN1039" s="354"/>
      <c r="AO1039" s="354"/>
      <c r="AP1039" s="354"/>
      <c r="AQ1039" s="354"/>
      <c r="AR1039" s="354"/>
      <c r="AS1039" s="354"/>
      <c r="AT1039" s="354"/>
      <c r="AU1039" s="354"/>
      <c r="AV1039" s="354"/>
      <c r="AW1039" s="354"/>
    </row>
    <row r="1040" spans="1:49">
      <c r="A1040" s="354"/>
      <c r="B1040" s="354"/>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Y1040" s="354"/>
      <c r="Z1040" s="354"/>
      <c r="AA1040" s="354"/>
      <c r="AB1040" s="354"/>
      <c r="AC1040" s="354"/>
      <c r="AD1040" s="354"/>
      <c r="AE1040" s="354"/>
      <c r="AF1040" s="354"/>
      <c r="AG1040" s="354"/>
      <c r="AH1040" s="354"/>
      <c r="AI1040" s="354"/>
      <c r="AJ1040" s="354"/>
      <c r="AK1040" s="354"/>
      <c r="AL1040" s="354"/>
      <c r="AM1040" s="354"/>
      <c r="AN1040" s="354"/>
      <c r="AO1040" s="354"/>
      <c r="AP1040" s="354"/>
      <c r="AQ1040" s="354"/>
      <c r="AR1040" s="354"/>
      <c r="AS1040" s="354"/>
      <c r="AT1040" s="354"/>
      <c r="AU1040" s="354"/>
      <c r="AV1040" s="354"/>
      <c r="AW1040" s="354"/>
    </row>
    <row r="1041" spans="1:49">
      <c r="A1041" s="354"/>
      <c r="B1041" s="354"/>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Y1041" s="354"/>
      <c r="Z1041" s="354"/>
      <c r="AA1041" s="354"/>
      <c r="AB1041" s="354"/>
      <c r="AC1041" s="354"/>
      <c r="AD1041" s="354"/>
      <c r="AE1041" s="354"/>
      <c r="AF1041" s="354"/>
      <c r="AG1041" s="354"/>
      <c r="AH1041" s="354"/>
      <c r="AI1041" s="354"/>
      <c r="AJ1041" s="354"/>
      <c r="AK1041" s="354"/>
      <c r="AL1041" s="354"/>
      <c r="AM1041" s="354"/>
      <c r="AN1041" s="354"/>
      <c r="AO1041" s="354"/>
      <c r="AP1041" s="354"/>
      <c r="AQ1041" s="354"/>
      <c r="AR1041" s="354"/>
      <c r="AS1041" s="354"/>
      <c r="AT1041" s="354"/>
      <c r="AU1041" s="354"/>
      <c r="AV1041" s="354"/>
      <c r="AW1041" s="354"/>
    </row>
    <row r="1042" spans="1:49">
      <c r="A1042" s="354"/>
      <c r="B1042" s="354"/>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Y1042" s="354"/>
      <c r="Z1042" s="354"/>
      <c r="AA1042" s="354"/>
      <c r="AB1042" s="354"/>
      <c r="AC1042" s="354"/>
      <c r="AD1042" s="354"/>
      <c r="AE1042" s="354"/>
      <c r="AF1042" s="354"/>
      <c r="AG1042" s="354"/>
      <c r="AH1042" s="354"/>
      <c r="AI1042" s="354"/>
      <c r="AJ1042" s="354"/>
      <c r="AK1042" s="354"/>
      <c r="AL1042" s="354"/>
      <c r="AM1042" s="354"/>
      <c r="AN1042" s="354"/>
      <c r="AO1042" s="354"/>
      <c r="AP1042" s="354"/>
      <c r="AQ1042" s="354"/>
      <c r="AR1042" s="354"/>
      <c r="AS1042" s="354"/>
      <c r="AT1042" s="354"/>
      <c r="AU1042" s="354"/>
      <c r="AV1042" s="354"/>
      <c r="AW1042" s="354"/>
    </row>
    <row r="1043" spans="1:49">
      <c r="A1043" s="354"/>
      <c r="B1043" s="354"/>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Y1043" s="354"/>
      <c r="Z1043" s="354"/>
      <c r="AA1043" s="354"/>
      <c r="AB1043" s="354"/>
      <c r="AC1043" s="354"/>
      <c r="AD1043" s="354"/>
      <c r="AE1043" s="354"/>
      <c r="AF1043" s="354"/>
      <c r="AG1043" s="354"/>
      <c r="AH1043" s="354"/>
      <c r="AI1043" s="354"/>
      <c r="AJ1043" s="354"/>
      <c r="AK1043" s="354"/>
      <c r="AL1043" s="354"/>
      <c r="AM1043" s="354"/>
      <c r="AN1043" s="354"/>
      <c r="AO1043" s="354"/>
      <c r="AP1043" s="354"/>
      <c r="AQ1043" s="354"/>
      <c r="AR1043" s="354"/>
      <c r="AS1043" s="354"/>
      <c r="AT1043" s="354"/>
      <c r="AU1043" s="354"/>
      <c r="AV1043" s="354"/>
      <c r="AW1043" s="354"/>
    </row>
    <row r="1044" spans="1:49">
      <c r="A1044" s="354"/>
      <c r="B1044" s="354"/>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Y1044" s="354"/>
      <c r="Z1044" s="354"/>
      <c r="AA1044" s="354"/>
      <c r="AB1044" s="354"/>
      <c r="AC1044" s="354"/>
      <c r="AD1044" s="354"/>
      <c r="AE1044" s="354"/>
      <c r="AF1044" s="354"/>
      <c r="AG1044" s="354"/>
      <c r="AH1044" s="354"/>
      <c r="AI1044" s="354"/>
      <c r="AJ1044" s="354"/>
      <c r="AK1044" s="354"/>
      <c r="AL1044" s="354"/>
      <c r="AM1044" s="354"/>
      <c r="AN1044" s="354"/>
      <c r="AO1044" s="354"/>
      <c r="AP1044" s="354"/>
      <c r="AQ1044" s="354"/>
      <c r="AR1044" s="354"/>
      <c r="AS1044" s="354"/>
      <c r="AT1044" s="354"/>
      <c r="AU1044" s="354"/>
      <c r="AV1044" s="354"/>
      <c r="AW1044" s="354"/>
    </row>
    <row r="1045" spans="1:49">
      <c r="A1045" s="354"/>
      <c r="B1045" s="354"/>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Y1045" s="354"/>
      <c r="Z1045" s="354"/>
      <c r="AA1045" s="354"/>
      <c r="AB1045" s="354"/>
      <c r="AC1045" s="354"/>
      <c r="AD1045" s="354"/>
      <c r="AE1045" s="354"/>
      <c r="AF1045" s="354"/>
      <c r="AG1045" s="354"/>
      <c r="AH1045" s="354"/>
      <c r="AI1045" s="354"/>
      <c r="AJ1045" s="354"/>
      <c r="AK1045" s="354"/>
      <c r="AL1045" s="354"/>
      <c r="AM1045" s="354"/>
      <c r="AN1045" s="354"/>
      <c r="AO1045" s="354"/>
      <c r="AP1045" s="354"/>
      <c r="AQ1045" s="354"/>
      <c r="AR1045" s="354"/>
      <c r="AS1045" s="354"/>
      <c r="AT1045" s="354"/>
      <c r="AU1045" s="354"/>
      <c r="AV1045" s="354"/>
      <c r="AW1045" s="354"/>
    </row>
    <row r="1046" spans="1:49">
      <c r="A1046" s="354"/>
      <c r="B1046" s="354"/>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Y1046" s="354"/>
      <c r="Z1046" s="354"/>
      <c r="AA1046" s="354"/>
      <c r="AB1046" s="354"/>
      <c r="AC1046" s="354"/>
      <c r="AD1046" s="354"/>
      <c r="AE1046" s="354"/>
      <c r="AF1046" s="354"/>
      <c r="AG1046" s="354"/>
      <c r="AH1046" s="354"/>
      <c r="AI1046" s="354"/>
      <c r="AJ1046" s="354"/>
      <c r="AK1046" s="354"/>
      <c r="AL1046" s="354"/>
      <c r="AM1046" s="354"/>
      <c r="AN1046" s="354"/>
      <c r="AO1046" s="354"/>
      <c r="AP1046" s="354"/>
      <c r="AQ1046" s="354"/>
      <c r="AR1046" s="354"/>
      <c r="AS1046" s="354"/>
      <c r="AT1046" s="354"/>
      <c r="AU1046" s="354"/>
      <c r="AV1046" s="354"/>
      <c r="AW1046" s="354"/>
    </row>
    <row r="1047" spans="1:49">
      <c r="A1047" s="354"/>
      <c r="B1047" s="354"/>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Y1047" s="354"/>
      <c r="Z1047" s="354"/>
      <c r="AA1047" s="354"/>
      <c r="AB1047" s="354"/>
      <c r="AC1047" s="354"/>
      <c r="AD1047" s="354"/>
      <c r="AE1047" s="354"/>
      <c r="AF1047" s="354"/>
      <c r="AG1047" s="354"/>
      <c r="AH1047" s="354"/>
      <c r="AI1047" s="354"/>
      <c r="AJ1047" s="354"/>
      <c r="AK1047" s="354"/>
      <c r="AL1047" s="354"/>
      <c r="AM1047" s="354"/>
      <c r="AN1047" s="354"/>
      <c r="AO1047" s="354"/>
      <c r="AP1047" s="354"/>
      <c r="AQ1047" s="354"/>
      <c r="AR1047" s="354"/>
      <c r="AS1047" s="354"/>
      <c r="AT1047" s="354"/>
      <c r="AU1047" s="354"/>
      <c r="AV1047" s="354"/>
      <c r="AW1047" s="354"/>
    </row>
    <row r="1048" spans="1:49">
      <c r="A1048" s="354"/>
      <c r="B1048" s="354"/>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Y1048" s="354"/>
      <c r="Z1048" s="354"/>
      <c r="AA1048" s="354"/>
      <c r="AB1048" s="354"/>
      <c r="AC1048" s="354"/>
      <c r="AD1048" s="354"/>
      <c r="AE1048" s="354"/>
      <c r="AF1048" s="354"/>
      <c r="AG1048" s="354"/>
      <c r="AH1048" s="354"/>
      <c r="AI1048" s="354"/>
      <c r="AJ1048" s="354"/>
      <c r="AK1048" s="354"/>
      <c r="AL1048" s="354"/>
      <c r="AM1048" s="354"/>
      <c r="AN1048" s="354"/>
      <c r="AO1048" s="354"/>
      <c r="AP1048" s="354"/>
      <c r="AQ1048" s="354"/>
      <c r="AR1048" s="354"/>
      <c r="AS1048" s="354"/>
      <c r="AT1048" s="354"/>
      <c r="AU1048" s="354"/>
      <c r="AV1048" s="354"/>
      <c r="AW1048" s="354"/>
    </row>
    <row r="1049" spans="1:49">
      <c r="A1049" s="354"/>
      <c r="B1049" s="354"/>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Y1049" s="354"/>
      <c r="Z1049" s="354"/>
      <c r="AA1049" s="354"/>
      <c r="AB1049" s="354"/>
      <c r="AC1049" s="354"/>
      <c r="AD1049" s="354"/>
      <c r="AE1049" s="354"/>
      <c r="AF1049" s="354"/>
      <c r="AG1049" s="354"/>
      <c r="AH1049" s="354"/>
      <c r="AI1049" s="354"/>
      <c r="AJ1049" s="354"/>
      <c r="AK1049" s="354"/>
      <c r="AL1049" s="354"/>
      <c r="AM1049" s="354"/>
      <c r="AN1049" s="354"/>
      <c r="AO1049" s="354"/>
      <c r="AP1049" s="354"/>
      <c r="AQ1049" s="354"/>
      <c r="AR1049" s="354"/>
      <c r="AS1049" s="354"/>
      <c r="AT1049" s="354"/>
      <c r="AU1049" s="354"/>
      <c r="AV1049" s="354"/>
      <c r="AW1049" s="354"/>
    </row>
    <row r="1050" spans="1:49">
      <c r="A1050" s="354"/>
      <c r="B1050" s="354"/>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Y1050" s="354"/>
      <c r="Z1050" s="354"/>
      <c r="AA1050" s="354"/>
      <c r="AB1050" s="354"/>
      <c r="AC1050" s="354"/>
      <c r="AD1050" s="354"/>
      <c r="AE1050" s="354"/>
      <c r="AF1050" s="354"/>
      <c r="AG1050" s="354"/>
      <c r="AH1050" s="354"/>
      <c r="AI1050" s="354"/>
      <c r="AJ1050" s="354"/>
      <c r="AK1050" s="354"/>
      <c r="AL1050" s="354"/>
      <c r="AM1050" s="354"/>
      <c r="AN1050" s="354"/>
      <c r="AO1050" s="354"/>
      <c r="AP1050" s="354"/>
      <c r="AQ1050" s="354"/>
      <c r="AR1050" s="354"/>
      <c r="AS1050" s="354"/>
      <c r="AT1050" s="354"/>
      <c r="AU1050" s="354"/>
      <c r="AV1050" s="354"/>
      <c r="AW1050" s="354"/>
    </row>
    <row r="1051" spans="1:49">
      <c r="A1051" s="354"/>
      <c r="B1051" s="354"/>
      <c r="C1051" s="354"/>
      <c r="D1051" s="354"/>
      <c r="E1051" s="354"/>
      <c r="F1051" s="354"/>
      <c r="G1051" s="354"/>
      <c r="H1051" s="354"/>
      <c r="I1051" s="354"/>
      <c r="J1051" s="354"/>
      <c r="K1051" s="354"/>
      <c r="L1051" s="354"/>
      <c r="M1051" s="354"/>
      <c r="N1051" s="354"/>
      <c r="O1051" s="354"/>
      <c r="P1051" s="354"/>
      <c r="Q1051" s="354"/>
      <c r="R1051" s="354"/>
      <c r="S1051" s="354"/>
      <c r="T1051" s="354"/>
      <c r="U1051" s="354"/>
      <c r="V1051" s="354"/>
      <c r="W1051" s="354"/>
      <c r="X1051" s="354"/>
      <c r="Y1051" s="354"/>
      <c r="Z1051" s="354"/>
      <c r="AA1051" s="354"/>
      <c r="AB1051" s="354"/>
      <c r="AC1051" s="354"/>
      <c r="AD1051" s="354"/>
      <c r="AE1051" s="354"/>
      <c r="AF1051" s="354"/>
      <c r="AG1051" s="354"/>
      <c r="AH1051" s="354"/>
      <c r="AI1051" s="354"/>
      <c r="AJ1051" s="354"/>
      <c r="AK1051" s="354"/>
      <c r="AL1051" s="354"/>
      <c r="AM1051" s="354"/>
      <c r="AN1051" s="354"/>
      <c r="AO1051" s="354"/>
      <c r="AP1051" s="354"/>
      <c r="AQ1051" s="354"/>
      <c r="AR1051" s="354"/>
      <c r="AS1051" s="354"/>
      <c r="AT1051" s="354"/>
      <c r="AU1051" s="354"/>
      <c r="AV1051" s="354"/>
      <c r="AW1051" s="354"/>
    </row>
    <row r="1052" spans="1:49">
      <c r="A1052" s="354"/>
      <c r="B1052" s="354"/>
      <c r="C1052" s="354"/>
      <c r="D1052" s="354"/>
      <c r="E1052" s="354"/>
      <c r="F1052" s="354"/>
      <c r="G1052" s="354"/>
      <c r="H1052" s="354"/>
      <c r="I1052" s="354"/>
      <c r="J1052" s="354"/>
      <c r="K1052" s="354"/>
      <c r="L1052" s="354"/>
      <c r="M1052" s="354"/>
      <c r="N1052" s="354"/>
      <c r="O1052" s="354"/>
      <c r="P1052" s="354"/>
      <c r="Q1052" s="354"/>
      <c r="R1052" s="354"/>
      <c r="S1052" s="354"/>
      <c r="T1052" s="354"/>
      <c r="U1052" s="354"/>
      <c r="V1052" s="354"/>
      <c r="W1052" s="354"/>
      <c r="X1052" s="354"/>
      <c r="Y1052" s="354"/>
      <c r="Z1052" s="354"/>
      <c r="AA1052" s="354"/>
      <c r="AB1052" s="354"/>
      <c r="AC1052" s="354"/>
      <c r="AD1052" s="354"/>
      <c r="AE1052" s="354"/>
      <c r="AF1052" s="354"/>
      <c r="AG1052" s="354"/>
      <c r="AH1052" s="354"/>
      <c r="AI1052" s="354"/>
      <c r="AJ1052" s="354"/>
      <c r="AK1052" s="354"/>
      <c r="AL1052" s="354"/>
      <c r="AM1052" s="354"/>
      <c r="AN1052" s="354"/>
      <c r="AO1052" s="354"/>
      <c r="AP1052" s="354"/>
      <c r="AQ1052" s="354"/>
      <c r="AR1052" s="354"/>
      <c r="AS1052" s="354"/>
      <c r="AT1052" s="354"/>
      <c r="AU1052" s="354"/>
      <c r="AV1052" s="354"/>
      <c r="AW1052" s="354"/>
    </row>
    <row r="1053" spans="1:49">
      <c r="A1053" s="354"/>
      <c r="B1053" s="354"/>
      <c r="C1053" s="354"/>
      <c r="D1053" s="354"/>
      <c r="E1053" s="354"/>
      <c r="F1053" s="354"/>
      <c r="G1053" s="354"/>
      <c r="H1053" s="354"/>
      <c r="I1053" s="354"/>
      <c r="J1053" s="354"/>
      <c r="K1053" s="354"/>
      <c r="L1053" s="354"/>
      <c r="M1053" s="354"/>
      <c r="N1053" s="354"/>
      <c r="O1053" s="354"/>
      <c r="P1053" s="354"/>
      <c r="Q1053" s="354"/>
      <c r="R1053" s="354"/>
      <c r="S1053" s="354"/>
      <c r="T1053" s="354"/>
      <c r="U1053" s="354"/>
      <c r="V1053" s="354"/>
      <c r="W1053" s="354"/>
      <c r="X1053" s="354"/>
      <c r="Y1053" s="354"/>
      <c r="Z1053" s="354"/>
      <c r="AA1053" s="354"/>
      <c r="AB1053" s="354"/>
      <c r="AC1053" s="354"/>
      <c r="AD1053" s="354"/>
      <c r="AE1053" s="354"/>
      <c r="AF1053" s="354"/>
      <c r="AG1053" s="354"/>
      <c r="AH1053" s="354"/>
      <c r="AI1053" s="354"/>
      <c r="AJ1053" s="354"/>
      <c r="AK1053" s="354"/>
      <c r="AL1053" s="354"/>
      <c r="AM1053" s="354"/>
      <c r="AN1053" s="354"/>
      <c r="AO1053" s="354"/>
      <c r="AP1053" s="354"/>
      <c r="AQ1053" s="354"/>
      <c r="AR1053" s="354"/>
      <c r="AS1053" s="354"/>
      <c r="AT1053" s="354"/>
      <c r="AU1053" s="354"/>
      <c r="AV1053" s="354"/>
      <c r="AW1053" s="354"/>
    </row>
    <row r="1054" spans="1:49">
      <c r="A1054" s="354"/>
      <c r="B1054" s="354"/>
      <c r="C1054" s="354"/>
      <c r="D1054" s="354"/>
      <c r="E1054" s="354"/>
      <c r="F1054" s="354"/>
      <c r="G1054" s="354"/>
      <c r="H1054" s="354"/>
      <c r="I1054" s="354"/>
      <c r="J1054" s="354"/>
      <c r="K1054" s="354"/>
      <c r="L1054" s="354"/>
      <c r="M1054" s="354"/>
      <c r="N1054" s="354"/>
      <c r="O1054" s="354"/>
      <c r="P1054" s="354"/>
      <c r="Q1054" s="354"/>
      <c r="R1054" s="354"/>
      <c r="S1054" s="354"/>
      <c r="T1054" s="354"/>
      <c r="U1054" s="354"/>
      <c r="V1054" s="354"/>
      <c r="W1054" s="354"/>
      <c r="X1054" s="354"/>
      <c r="Y1054" s="354"/>
      <c r="Z1054" s="354"/>
      <c r="AA1054" s="354"/>
      <c r="AB1054" s="354"/>
      <c r="AC1054" s="354"/>
      <c r="AD1054" s="354"/>
      <c r="AE1054" s="354"/>
      <c r="AF1054" s="354"/>
      <c r="AG1054" s="354"/>
      <c r="AH1054" s="354"/>
      <c r="AI1054" s="354"/>
      <c r="AJ1054" s="354"/>
      <c r="AK1054" s="354"/>
      <c r="AL1054" s="354"/>
      <c r="AM1054" s="354"/>
      <c r="AN1054" s="354"/>
      <c r="AO1054" s="354"/>
      <c r="AP1054" s="354"/>
      <c r="AQ1054" s="354"/>
      <c r="AR1054" s="354"/>
      <c r="AS1054" s="354"/>
      <c r="AT1054" s="354"/>
      <c r="AU1054" s="354"/>
      <c r="AV1054" s="354"/>
      <c r="AW1054" s="354"/>
    </row>
    <row r="1055" spans="1:49">
      <c r="A1055" s="354"/>
      <c r="B1055" s="354"/>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Y1055" s="354"/>
      <c r="Z1055" s="354"/>
      <c r="AA1055" s="354"/>
      <c r="AB1055" s="354"/>
      <c r="AC1055" s="354"/>
      <c r="AD1055" s="354"/>
      <c r="AE1055" s="354"/>
      <c r="AF1055" s="354"/>
      <c r="AG1055" s="354"/>
      <c r="AH1055" s="354"/>
      <c r="AI1055" s="354"/>
      <c r="AJ1055" s="354"/>
      <c r="AK1055" s="354"/>
      <c r="AL1055" s="354"/>
      <c r="AM1055" s="354"/>
      <c r="AN1055" s="354"/>
      <c r="AO1055" s="354"/>
      <c r="AP1055" s="354"/>
      <c r="AQ1055" s="354"/>
      <c r="AR1055" s="354"/>
      <c r="AS1055" s="354"/>
      <c r="AT1055" s="354"/>
      <c r="AU1055" s="354"/>
      <c r="AV1055" s="354"/>
      <c r="AW1055" s="354"/>
    </row>
    <row r="1056" spans="1:49">
      <c r="A1056" s="354"/>
      <c r="B1056" s="354"/>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Y1056" s="354"/>
      <c r="Z1056" s="354"/>
      <c r="AA1056" s="354"/>
      <c r="AB1056" s="354"/>
      <c r="AC1056" s="354"/>
      <c r="AD1056" s="354"/>
      <c r="AE1056" s="354"/>
      <c r="AF1056" s="354"/>
      <c r="AG1056" s="354"/>
      <c r="AH1056" s="354"/>
      <c r="AI1056" s="354"/>
      <c r="AJ1056" s="354"/>
      <c r="AK1056" s="354"/>
      <c r="AL1056" s="354"/>
      <c r="AM1056" s="354"/>
      <c r="AN1056" s="354"/>
      <c r="AO1056" s="354"/>
      <c r="AP1056" s="354"/>
      <c r="AQ1056" s="354"/>
      <c r="AR1056" s="354"/>
      <c r="AS1056" s="354"/>
      <c r="AT1056" s="354"/>
      <c r="AU1056" s="354"/>
      <c r="AV1056" s="354"/>
      <c r="AW1056" s="354"/>
    </row>
    <row r="1057" spans="1:49">
      <c r="A1057" s="354"/>
      <c r="B1057" s="354"/>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Y1057" s="354"/>
      <c r="Z1057" s="354"/>
      <c r="AA1057" s="354"/>
      <c r="AB1057" s="354"/>
      <c r="AC1057" s="354"/>
      <c r="AD1057" s="354"/>
      <c r="AE1057" s="354"/>
      <c r="AF1057" s="354"/>
      <c r="AG1057" s="354"/>
      <c r="AH1057" s="354"/>
      <c r="AI1057" s="354"/>
      <c r="AJ1057" s="354"/>
      <c r="AK1057" s="354"/>
      <c r="AL1057" s="354"/>
      <c r="AM1057" s="354"/>
      <c r="AN1057" s="354"/>
      <c r="AO1057" s="354"/>
      <c r="AP1057" s="354"/>
      <c r="AQ1057" s="354"/>
      <c r="AR1057" s="354"/>
      <c r="AS1057" s="354"/>
      <c r="AT1057" s="354"/>
      <c r="AU1057" s="354"/>
      <c r="AV1057" s="354"/>
      <c r="AW1057" s="354"/>
    </row>
    <row r="1058" spans="1:49">
      <c r="A1058" s="354"/>
      <c r="B1058" s="354"/>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Y1058" s="354"/>
      <c r="Z1058" s="354"/>
      <c r="AA1058" s="354"/>
      <c r="AB1058" s="354"/>
      <c r="AC1058" s="354"/>
      <c r="AD1058" s="354"/>
      <c r="AE1058" s="354"/>
      <c r="AF1058" s="354"/>
      <c r="AG1058" s="354"/>
      <c r="AH1058" s="354"/>
      <c r="AI1058" s="354"/>
      <c r="AJ1058" s="354"/>
      <c r="AK1058" s="354"/>
      <c r="AL1058" s="354"/>
      <c r="AM1058" s="354"/>
      <c r="AN1058" s="354"/>
      <c r="AO1058" s="354"/>
      <c r="AP1058" s="354"/>
      <c r="AQ1058" s="354"/>
      <c r="AR1058" s="354"/>
      <c r="AS1058" s="354"/>
      <c r="AT1058" s="354"/>
      <c r="AU1058" s="354"/>
      <c r="AV1058" s="354"/>
      <c r="AW1058" s="354"/>
    </row>
    <row r="1059" spans="1:49">
      <c r="A1059" s="354"/>
      <c r="B1059" s="354"/>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Y1059" s="354"/>
      <c r="Z1059" s="354"/>
      <c r="AA1059" s="354"/>
      <c r="AB1059" s="354"/>
      <c r="AC1059" s="354"/>
      <c r="AD1059" s="354"/>
      <c r="AE1059" s="354"/>
      <c r="AF1059" s="354"/>
      <c r="AG1059" s="354"/>
      <c r="AH1059" s="354"/>
      <c r="AI1059" s="354"/>
      <c r="AJ1059" s="354"/>
      <c r="AK1059" s="354"/>
      <c r="AL1059" s="354"/>
      <c r="AM1059" s="354"/>
      <c r="AN1059" s="354"/>
      <c r="AO1059" s="354"/>
      <c r="AP1059" s="354"/>
      <c r="AQ1059" s="354"/>
      <c r="AR1059" s="354"/>
      <c r="AS1059" s="354"/>
      <c r="AT1059" s="354"/>
      <c r="AU1059" s="354"/>
      <c r="AV1059" s="354"/>
      <c r="AW1059" s="354"/>
    </row>
    <row r="1060" spans="1:49">
      <c r="A1060" s="354"/>
      <c r="B1060" s="354"/>
      <c r="C1060" s="354"/>
      <c r="D1060" s="354"/>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Y1060" s="354"/>
      <c r="Z1060" s="354"/>
      <c r="AA1060" s="354"/>
      <c r="AB1060" s="354"/>
      <c r="AC1060" s="354"/>
      <c r="AD1060" s="354"/>
      <c r="AE1060" s="354"/>
      <c r="AF1060" s="354"/>
      <c r="AG1060" s="354"/>
      <c r="AH1060" s="354"/>
      <c r="AI1060" s="354"/>
      <c r="AJ1060" s="354"/>
      <c r="AK1060" s="354"/>
      <c r="AL1060" s="354"/>
      <c r="AM1060" s="354"/>
      <c r="AN1060" s="354"/>
      <c r="AO1060" s="354"/>
      <c r="AP1060" s="354"/>
      <c r="AQ1060" s="354"/>
      <c r="AR1060" s="354"/>
      <c r="AS1060" s="354"/>
      <c r="AT1060" s="354"/>
      <c r="AU1060" s="354"/>
      <c r="AV1060" s="354"/>
      <c r="AW1060" s="354"/>
    </row>
    <row r="1061" spans="1:49">
      <c r="A1061" s="354"/>
      <c r="B1061" s="354"/>
      <c r="C1061" s="354"/>
      <c r="D1061" s="354"/>
      <c r="E1061" s="354"/>
      <c r="F1061" s="354"/>
      <c r="G1061" s="354"/>
      <c r="H1061" s="354"/>
      <c r="I1061" s="354"/>
      <c r="J1061" s="354"/>
      <c r="K1061" s="354"/>
      <c r="L1061" s="354"/>
      <c r="M1061" s="354"/>
      <c r="N1061" s="354"/>
      <c r="O1061" s="354"/>
      <c r="P1061" s="354"/>
      <c r="Q1061" s="354"/>
      <c r="R1061" s="354"/>
      <c r="S1061" s="354"/>
      <c r="T1061" s="354"/>
      <c r="U1061" s="354"/>
      <c r="V1061" s="354"/>
      <c r="W1061" s="354"/>
      <c r="X1061" s="354"/>
      <c r="Y1061" s="354"/>
      <c r="Z1061" s="354"/>
      <c r="AA1061" s="354"/>
      <c r="AB1061" s="354"/>
      <c r="AC1061" s="354"/>
      <c r="AD1061" s="354"/>
      <c r="AE1061" s="354"/>
      <c r="AF1061" s="354"/>
      <c r="AG1061" s="354"/>
      <c r="AH1061" s="354"/>
      <c r="AI1061" s="354"/>
      <c r="AJ1061" s="354"/>
      <c r="AK1061" s="354"/>
      <c r="AL1061" s="354"/>
      <c r="AM1061" s="354"/>
      <c r="AN1061" s="354"/>
      <c r="AO1061" s="354"/>
      <c r="AP1061" s="354"/>
      <c r="AQ1061" s="354"/>
      <c r="AR1061" s="354"/>
      <c r="AS1061" s="354"/>
      <c r="AT1061" s="354"/>
      <c r="AU1061" s="354"/>
      <c r="AV1061" s="354"/>
      <c r="AW1061" s="354"/>
    </row>
    <row r="1062" spans="1:49">
      <c r="A1062" s="354"/>
      <c r="B1062" s="354"/>
      <c r="C1062" s="354"/>
      <c r="D1062" s="354"/>
      <c r="E1062" s="354"/>
      <c r="F1062" s="354"/>
      <c r="G1062" s="354"/>
      <c r="H1062" s="354"/>
      <c r="I1062" s="354"/>
      <c r="J1062" s="354"/>
      <c r="K1062" s="354"/>
      <c r="L1062" s="354"/>
      <c r="M1062" s="354"/>
      <c r="N1062" s="354"/>
      <c r="O1062" s="354"/>
      <c r="P1062" s="354"/>
      <c r="Q1062" s="354"/>
      <c r="R1062" s="354"/>
      <c r="S1062" s="354"/>
      <c r="T1062" s="354"/>
      <c r="U1062" s="354"/>
      <c r="V1062" s="354"/>
      <c r="W1062" s="354"/>
      <c r="X1062" s="354"/>
      <c r="Y1062" s="354"/>
      <c r="Z1062" s="354"/>
      <c r="AA1062" s="354"/>
      <c r="AB1062" s="354"/>
      <c r="AC1062" s="354"/>
      <c r="AD1062" s="354"/>
      <c r="AE1062" s="354"/>
      <c r="AF1062" s="354"/>
      <c r="AG1062" s="354"/>
      <c r="AH1062" s="354"/>
      <c r="AI1062" s="354"/>
      <c r="AJ1062" s="354"/>
      <c r="AK1062" s="354"/>
      <c r="AL1062" s="354"/>
      <c r="AM1062" s="354"/>
      <c r="AN1062" s="354"/>
      <c r="AO1062" s="354"/>
      <c r="AP1062" s="354"/>
      <c r="AQ1062" s="354"/>
      <c r="AR1062" s="354"/>
      <c r="AS1062" s="354"/>
      <c r="AT1062" s="354"/>
      <c r="AU1062" s="354"/>
      <c r="AV1062" s="354"/>
      <c r="AW1062" s="354"/>
    </row>
    <row r="1063" spans="1:49">
      <c r="A1063" s="354"/>
      <c r="B1063" s="354"/>
      <c r="C1063" s="354"/>
      <c r="D1063" s="354"/>
      <c r="E1063" s="354"/>
      <c r="F1063" s="354"/>
      <c r="G1063" s="354"/>
      <c r="H1063" s="354"/>
      <c r="I1063" s="354"/>
      <c r="J1063" s="354"/>
      <c r="K1063" s="354"/>
      <c r="L1063" s="354"/>
      <c r="M1063" s="354"/>
      <c r="N1063" s="354"/>
      <c r="O1063" s="354"/>
      <c r="P1063" s="354"/>
      <c r="Q1063" s="354"/>
      <c r="R1063" s="354"/>
      <c r="S1063" s="354"/>
      <c r="T1063" s="354"/>
      <c r="U1063" s="354"/>
      <c r="V1063" s="354"/>
      <c r="W1063" s="354"/>
      <c r="X1063" s="354"/>
      <c r="Y1063" s="354"/>
      <c r="Z1063" s="354"/>
      <c r="AA1063" s="354"/>
      <c r="AB1063" s="354"/>
      <c r="AC1063" s="354"/>
      <c r="AD1063" s="354"/>
      <c r="AE1063" s="354"/>
      <c r="AF1063" s="354"/>
      <c r="AG1063" s="354"/>
      <c r="AH1063" s="354"/>
      <c r="AI1063" s="354"/>
      <c r="AJ1063" s="354"/>
      <c r="AK1063" s="354"/>
      <c r="AL1063" s="354"/>
      <c r="AM1063" s="354"/>
      <c r="AN1063" s="354"/>
      <c r="AO1063" s="354"/>
      <c r="AP1063" s="354"/>
      <c r="AQ1063" s="354"/>
      <c r="AR1063" s="354"/>
      <c r="AS1063" s="354"/>
      <c r="AT1063" s="354"/>
      <c r="AU1063" s="354"/>
      <c r="AV1063" s="354"/>
      <c r="AW1063" s="354"/>
    </row>
    <row r="1064" spans="1:49">
      <c r="A1064" s="354"/>
      <c r="B1064" s="354"/>
      <c r="C1064" s="354"/>
      <c r="D1064" s="354"/>
      <c r="E1064" s="354"/>
      <c r="F1064" s="354"/>
      <c r="G1064" s="354"/>
      <c r="H1064" s="354"/>
      <c r="I1064" s="354"/>
      <c r="J1064" s="354"/>
      <c r="K1064" s="354"/>
      <c r="L1064" s="354"/>
      <c r="M1064" s="354"/>
      <c r="N1064" s="354"/>
      <c r="O1064" s="354"/>
      <c r="P1064" s="354"/>
      <c r="Q1064" s="354"/>
      <c r="R1064" s="354"/>
      <c r="S1064" s="354"/>
      <c r="T1064" s="354"/>
      <c r="U1064" s="354"/>
      <c r="V1064" s="354"/>
      <c r="W1064" s="354"/>
      <c r="X1064" s="354"/>
      <c r="Y1064" s="354"/>
      <c r="Z1064" s="354"/>
      <c r="AA1064" s="354"/>
      <c r="AB1064" s="354"/>
      <c r="AC1064" s="354"/>
      <c r="AD1064" s="354"/>
      <c r="AE1064" s="354"/>
      <c r="AF1064" s="354"/>
      <c r="AG1064" s="354"/>
      <c r="AH1064" s="354"/>
      <c r="AI1064" s="354"/>
      <c r="AJ1064" s="354"/>
      <c r="AK1064" s="354"/>
      <c r="AL1064" s="354"/>
      <c r="AM1064" s="354"/>
      <c r="AN1064" s="354"/>
      <c r="AO1064" s="354"/>
      <c r="AP1064" s="354"/>
      <c r="AQ1064" s="354"/>
      <c r="AR1064" s="354"/>
      <c r="AS1064" s="354"/>
      <c r="AT1064" s="354"/>
      <c r="AU1064" s="354"/>
      <c r="AV1064" s="354"/>
      <c r="AW1064" s="354"/>
    </row>
    <row r="1065" spans="1:49">
      <c r="A1065" s="354"/>
      <c r="B1065" s="354"/>
      <c r="C1065" s="354"/>
      <c r="D1065" s="354"/>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Y1065" s="354"/>
      <c r="Z1065" s="354"/>
      <c r="AA1065" s="354"/>
      <c r="AB1065" s="354"/>
      <c r="AC1065" s="354"/>
      <c r="AD1065" s="354"/>
      <c r="AE1065" s="354"/>
      <c r="AF1065" s="354"/>
      <c r="AG1065" s="354"/>
      <c r="AH1065" s="354"/>
      <c r="AI1065" s="354"/>
      <c r="AJ1065" s="354"/>
      <c r="AK1065" s="354"/>
      <c r="AL1065" s="354"/>
      <c r="AM1065" s="354"/>
      <c r="AN1065" s="354"/>
      <c r="AO1065" s="354"/>
      <c r="AP1065" s="354"/>
      <c r="AQ1065" s="354"/>
      <c r="AR1065" s="354"/>
      <c r="AS1065" s="354"/>
      <c r="AT1065" s="354"/>
      <c r="AU1065" s="354"/>
      <c r="AV1065" s="354"/>
      <c r="AW1065" s="354"/>
    </row>
    <row r="1066" spans="1:49">
      <c r="A1066" s="354"/>
      <c r="B1066" s="354"/>
      <c r="C1066" s="354"/>
      <c r="D1066" s="354"/>
      <c r="E1066" s="354"/>
      <c r="F1066" s="354"/>
      <c r="G1066" s="354"/>
      <c r="H1066" s="354"/>
      <c r="I1066" s="354"/>
      <c r="J1066" s="354"/>
      <c r="K1066" s="354"/>
      <c r="L1066" s="354"/>
      <c r="M1066" s="354"/>
      <c r="N1066" s="354"/>
      <c r="O1066" s="354"/>
      <c r="P1066" s="354"/>
      <c r="Q1066" s="354"/>
      <c r="R1066" s="354"/>
      <c r="S1066" s="354"/>
      <c r="T1066" s="354"/>
      <c r="U1066" s="354"/>
      <c r="V1066" s="354"/>
      <c r="W1066" s="354"/>
      <c r="X1066" s="354"/>
      <c r="Y1066" s="354"/>
      <c r="Z1066" s="354"/>
      <c r="AA1066" s="354"/>
      <c r="AB1066" s="354"/>
      <c r="AC1066" s="354"/>
      <c r="AD1066" s="354"/>
      <c r="AE1066" s="354"/>
      <c r="AF1066" s="354"/>
      <c r="AG1066" s="354"/>
      <c r="AH1066" s="354"/>
      <c r="AI1066" s="354"/>
      <c r="AJ1066" s="354"/>
      <c r="AK1066" s="354"/>
      <c r="AL1066" s="354"/>
      <c r="AM1066" s="354"/>
      <c r="AN1066" s="354"/>
      <c r="AO1066" s="354"/>
      <c r="AP1066" s="354"/>
      <c r="AQ1066" s="354"/>
      <c r="AR1066" s="354"/>
      <c r="AS1066" s="354"/>
      <c r="AT1066" s="354"/>
      <c r="AU1066" s="354"/>
      <c r="AV1066" s="354"/>
      <c r="AW1066" s="354"/>
    </row>
    <row r="1067" spans="1:49">
      <c r="A1067" s="354"/>
      <c r="B1067" s="354"/>
      <c r="C1067" s="354"/>
      <c r="D1067" s="354"/>
      <c r="E1067" s="354"/>
      <c r="F1067" s="354"/>
      <c r="G1067" s="354"/>
      <c r="H1067" s="354"/>
      <c r="I1067" s="354"/>
      <c r="J1067" s="354"/>
      <c r="K1067" s="354"/>
      <c r="L1067" s="354"/>
      <c r="M1067" s="354"/>
      <c r="N1067" s="354"/>
      <c r="O1067" s="354"/>
      <c r="P1067" s="354"/>
      <c r="Q1067" s="354"/>
      <c r="R1067" s="354"/>
      <c r="S1067" s="354"/>
      <c r="T1067" s="354"/>
      <c r="U1067" s="354"/>
      <c r="V1067" s="354"/>
      <c r="W1067" s="354"/>
      <c r="X1067" s="354"/>
      <c r="Y1067" s="354"/>
      <c r="Z1067" s="354"/>
      <c r="AA1067" s="354"/>
      <c r="AB1067" s="354"/>
      <c r="AC1067" s="354"/>
      <c r="AD1067" s="354"/>
      <c r="AE1067" s="354"/>
      <c r="AF1067" s="354"/>
      <c r="AG1067" s="354"/>
      <c r="AH1067" s="354"/>
      <c r="AI1067" s="354"/>
      <c r="AJ1067" s="354"/>
      <c r="AK1067" s="354"/>
      <c r="AL1067" s="354"/>
      <c r="AM1067" s="354"/>
      <c r="AN1067" s="354"/>
      <c r="AO1067" s="354"/>
      <c r="AP1067" s="354"/>
      <c r="AQ1067" s="354"/>
      <c r="AR1067" s="354"/>
      <c r="AS1067" s="354"/>
      <c r="AT1067" s="354"/>
      <c r="AU1067" s="354"/>
      <c r="AV1067" s="354"/>
      <c r="AW1067" s="354"/>
    </row>
    <row r="1068" spans="1:49">
      <c r="A1068" s="354"/>
      <c r="B1068" s="354"/>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Y1068" s="354"/>
      <c r="Z1068" s="354"/>
      <c r="AA1068" s="354"/>
      <c r="AB1068" s="354"/>
      <c r="AC1068" s="354"/>
      <c r="AD1068" s="354"/>
      <c r="AE1068" s="354"/>
      <c r="AF1068" s="354"/>
      <c r="AG1068" s="354"/>
      <c r="AH1068" s="354"/>
      <c r="AI1068" s="354"/>
      <c r="AJ1068" s="354"/>
      <c r="AK1068" s="354"/>
      <c r="AL1068" s="354"/>
      <c r="AM1068" s="354"/>
      <c r="AN1068" s="354"/>
      <c r="AO1068" s="354"/>
      <c r="AP1068" s="354"/>
      <c r="AQ1068" s="354"/>
      <c r="AR1068" s="354"/>
      <c r="AS1068" s="354"/>
      <c r="AT1068" s="354"/>
      <c r="AU1068" s="354"/>
      <c r="AV1068" s="354"/>
      <c r="AW1068" s="354"/>
    </row>
    <row r="1069" spans="1:49">
      <c r="A1069" s="354"/>
      <c r="B1069" s="354"/>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Y1069" s="354"/>
      <c r="Z1069" s="354"/>
      <c r="AA1069" s="354"/>
      <c r="AB1069" s="354"/>
      <c r="AC1069" s="354"/>
      <c r="AD1069" s="354"/>
      <c r="AE1069" s="354"/>
      <c r="AF1069" s="354"/>
      <c r="AG1069" s="354"/>
      <c r="AH1069" s="354"/>
      <c r="AI1069" s="354"/>
      <c r="AJ1069" s="354"/>
      <c r="AK1069" s="354"/>
      <c r="AL1069" s="354"/>
      <c r="AM1069" s="354"/>
      <c r="AN1069" s="354"/>
      <c r="AO1069" s="354"/>
      <c r="AP1069" s="354"/>
      <c r="AQ1069" s="354"/>
      <c r="AR1069" s="354"/>
      <c r="AS1069" s="354"/>
      <c r="AT1069" s="354"/>
      <c r="AU1069" s="354"/>
      <c r="AV1069" s="354"/>
      <c r="AW1069" s="354"/>
    </row>
    <row r="1070" spans="1:49">
      <c r="A1070" s="354"/>
      <c r="B1070" s="354"/>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Y1070" s="354"/>
      <c r="Z1070" s="354"/>
      <c r="AA1070" s="354"/>
      <c r="AB1070" s="354"/>
      <c r="AC1070" s="354"/>
      <c r="AD1070" s="354"/>
      <c r="AE1070" s="354"/>
      <c r="AF1070" s="354"/>
      <c r="AG1070" s="354"/>
      <c r="AH1070" s="354"/>
      <c r="AI1070" s="354"/>
      <c r="AJ1070" s="354"/>
      <c r="AK1070" s="354"/>
      <c r="AL1070" s="354"/>
      <c r="AM1070" s="354"/>
      <c r="AN1070" s="354"/>
      <c r="AO1070" s="354"/>
      <c r="AP1070" s="354"/>
      <c r="AQ1070" s="354"/>
      <c r="AR1070" s="354"/>
      <c r="AS1070" s="354"/>
      <c r="AT1070" s="354"/>
      <c r="AU1070" s="354"/>
      <c r="AV1070" s="354"/>
      <c r="AW1070" s="354"/>
    </row>
    <row r="1071" spans="1:49">
      <c r="A1071" s="354"/>
      <c r="B1071" s="354"/>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Y1071" s="354"/>
      <c r="Z1071" s="354"/>
      <c r="AA1071" s="354"/>
      <c r="AB1071" s="354"/>
      <c r="AC1071" s="354"/>
      <c r="AD1071" s="354"/>
      <c r="AE1071" s="354"/>
      <c r="AF1071" s="354"/>
      <c r="AG1071" s="354"/>
      <c r="AH1071" s="354"/>
      <c r="AI1071" s="354"/>
      <c r="AJ1071" s="354"/>
      <c r="AK1071" s="354"/>
      <c r="AL1071" s="354"/>
      <c r="AM1071" s="354"/>
      <c r="AN1071" s="354"/>
      <c r="AO1071" s="354"/>
      <c r="AP1071" s="354"/>
      <c r="AQ1071" s="354"/>
      <c r="AR1071" s="354"/>
      <c r="AS1071" s="354"/>
      <c r="AT1071" s="354"/>
      <c r="AU1071" s="354"/>
      <c r="AV1071" s="354"/>
      <c r="AW1071" s="354"/>
    </row>
    <row r="1072" spans="1:49">
      <c r="A1072" s="354"/>
      <c r="B1072" s="354"/>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Y1072" s="354"/>
      <c r="Z1072" s="354"/>
      <c r="AA1072" s="354"/>
      <c r="AB1072" s="354"/>
      <c r="AC1072" s="354"/>
      <c r="AD1072" s="354"/>
      <c r="AE1072" s="354"/>
      <c r="AF1072" s="354"/>
      <c r="AG1072" s="354"/>
      <c r="AH1072" s="354"/>
      <c r="AI1072" s="354"/>
      <c r="AJ1072" s="354"/>
      <c r="AK1072" s="354"/>
      <c r="AL1072" s="354"/>
      <c r="AM1072" s="354"/>
      <c r="AN1072" s="354"/>
      <c r="AO1072" s="354"/>
      <c r="AP1072" s="354"/>
      <c r="AQ1072" s="354"/>
      <c r="AR1072" s="354"/>
      <c r="AS1072" s="354"/>
      <c r="AT1072" s="354"/>
      <c r="AU1072" s="354"/>
      <c r="AV1072" s="354"/>
      <c r="AW1072" s="354"/>
    </row>
    <row r="1073" spans="1:49">
      <c r="A1073" s="354"/>
      <c r="B1073" s="354"/>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Y1073" s="354"/>
      <c r="Z1073" s="354"/>
      <c r="AA1073" s="354"/>
      <c r="AB1073" s="354"/>
      <c r="AC1073" s="354"/>
      <c r="AD1073" s="354"/>
      <c r="AE1073" s="354"/>
      <c r="AF1073" s="354"/>
      <c r="AG1073" s="354"/>
      <c r="AH1073" s="354"/>
      <c r="AI1073" s="354"/>
      <c r="AJ1073" s="354"/>
      <c r="AK1073" s="354"/>
      <c r="AL1073" s="354"/>
      <c r="AM1073" s="354"/>
      <c r="AN1073" s="354"/>
      <c r="AO1073" s="354"/>
      <c r="AP1073" s="354"/>
      <c r="AQ1073" s="354"/>
      <c r="AR1073" s="354"/>
      <c r="AS1073" s="354"/>
      <c r="AT1073" s="354"/>
      <c r="AU1073" s="354"/>
      <c r="AV1073" s="354"/>
      <c r="AW1073" s="354"/>
    </row>
    <row r="1074" spans="1:49">
      <c r="A1074" s="354"/>
      <c r="B1074" s="354"/>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Y1074" s="354"/>
      <c r="Z1074" s="354"/>
      <c r="AA1074" s="354"/>
      <c r="AB1074" s="354"/>
      <c r="AC1074" s="354"/>
      <c r="AD1074" s="354"/>
      <c r="AE1074" s="354"/>
      <c r="AF1074" s="354"/>
      <c r="AG1074" s="354"/>
      <c r="AH1074" s="354"/>
      <c r="AI1074" s="354"/>
      <c r="AJ1074" s="354"/>
      <c r="AK1074" s="354"/>
      <c r="AL1074" s="354"/>
      <c r="AM1074" s="354"/>
      <c r="AN1074" s="354"/>
      <c r="AO1074" s="354"/>
      <c r="AP1074" s="354"/>
      <c r="AQ1074" s="354"/>
      <c r="AR1074" s="354"/>
      <c r="AS1074" s="354"/>
      <c r="AT1074" s="354"/>
      <c r="AU1074" s="354"/>
      <c r="AV1074" s="354"/>
      <c r="AW1074" s="354"/>
    </row>
    <row r="1075" spans="1:49">
      <c r="A1075" s="354"/>
      <c r="B1075" s="354"/>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Y1075" s="354"/>
      <c r="Z1075" s="354"/>
      <c r="AA1075" s="354"/>
      <c r="AB1075" s="354"/>
      <c r="AC1075" s="354"/>
      <c r="AD1075" s="354"/>
      <c r="AE1075" s="354"/>
      <c r="AF1075" s="354"/>
      <c r="AG1075" s="354"/>
      <c r="AH1075" s="354"/>
      <c r="AI1075" s="354"/>
      <c r="AJ1075" s="354"/>
      <c r="AK1075" s="354"/>
      <c r="AL1075" s="354"/>
      <c r="AM1075" s="354"/>
      <c r="AN1075" s="354"/>
      <c r="AO1075" s="354"/>
      <c r="AP1075" s="354"/>
      <c r="AQ1075" s="354"/>
      <c r="AR1075" s="354"/>
      <c r="AS1075" s="354"/>
      <c r="AT1075" s="354"/>
      <c r="AU1075" s="354"/>
      <c r="AV1075" s="354"/>
      <c r="AW1075" s="354"/>
    </row>
    <row r="1076" spans="1:49">
      <c r="A1076" s="354"/>
      <c r="B1076" s="354"/>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Y1076" s="354"/>
      <c r="Z1076" s="354"/>
      <c r="AA1076" s="354"/>
      <c r="AB1076" s="354"/>
      <c r="AC1076" s="354"/>
      <c r="AD1076" s="354"/>
      <c r="AE1076" s="354"/>
      <c r="AF1076" s="354"/>
      <c r="AG1076" s="354"/>
      <c r="AH1076" s="354"/>
      <c r="AI1076" s="354"/>
      <c r="AJ1076" s="354"/>
      <c r="AK1076" s="354"/>
      <c r="AL1076" s="354"/>
      <c r="AM1076" s="354"/>
      <c r="AN1076" s="354"/>
      <c r="AO1076" s="354"/>
      <c r="AP1076" s="354"/>
      <c r="AQ1076" s="354"/>
      <c r="AR1076" s="354"/>
      <c r="AS1076" s="354"/>
      <c r="AT1076" s="354"/>
      <c r="AU1076" s="354"/>
      <c r="AV1076" s="354"/>
      <c r="AW1076" s="354"/>
    </row>
    <row r="1077" spans="1:49">
      <c r="A1077" s="354"/>
      <c r="B1077" s="354"/>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Y1077" s="354"/>
      <c r="Z1077" s="354"/>
      <c r="AA1077" s="354"/>
      <c r="AB1077" s="354"/>
      <c r="AC1077" s="354"/>
      <c r="AD1077" s="354"/>
      <c r="AE1077" s="354"/>
      <c r="AF1077" s="354"/>
      <c r="AG1077" s="354"/>
      <c r="AH1077" s="354"/>
      <c r="AI1077" s="354"/>
      <c r="AJ1077" s="354"/>
      <c r="AK1077" s="354"/>
      <c r="AL1077" s="354"/>
      <c r="AM1077" s="354"/>
      <c r="AN1077" s="354"/>
      <c r="AO1077" s="354"/>
      <c r="AP1077" s="354"/>
      <c r="AQ1077" s="354"/>
      <c r="AR1077" s="354"/>
      <c r="AS1077" s="354"/>
      <c r="AT1077" s="354"/>
      <c r="AU1077" s="354"/>
      <c r="AV1077" s="354"/>
      <c r="AW1077" s="354"/>
    </row>
    <row r="1078" spans="1:49">
      <c r="A1078" s="354"/>
      <c r="B1078" s="354"/>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Y1078" s="354"/>
      <c r="Z1078" s="354"/>
      <c r="AA1078" s="354"/>
      <c r="AB1078" s="354"/>
      <c r="AC1078" s="354"/>
      <c r="AD1078" s="354"/>
      <c r="AE1078" s="354"/>
      <c r="AF1078" s="354"/>
      <c r="AG1078" s="354"/>
      <c r="AH1078" s="354"/>
      <c r="AI1078" s="354"/>
      <c r="AJ1078" s="354"/>
      <c r="AK1078" s="354"/>
      <c r="AL1078" s="354"/>
      <c r="AM1078" s="354"/>
      <c r="AN1078" s="354"/>
      <c r="AO1078" s="354"/>
      <c r="AP1078" s="354"/>
      <c r="AQ1078" s="354"/>
      <c r="AR1078" s="354"/>
      <c r="AS1078" s="354"/>
      <c r="AT1078" s="354"/>
      <c r="AU1078" s="354"/>
      <c r="AV1078" s="354"/>
      <c r="AW1078" s="354"/>
    </row>
    <row r="1079" spans="1:49">
      <c r="A1079" s="354"/>
      <c r="B1079" s="354"/>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Y1079" s="354"/>
      <c r="Z1079" s="354"/>
      <c r="AA1079" s="354"/>
      <c r="AB1079" s="354"/>
      <c r="AC1079" s="354"/>
      <c r="AD1079" s="354"/>
      <c r="AE1079" s="354"/>
      <c r="AF1079" s="354"/>
      <c r="AG1079" s="354"/>
      <c r="AH1079" s="354"/>
      <c r="AI1079" s="354"/>
      <c r="AJ1079" s="354"/>
      <c r="AK1079" s="354"/>
      <c r="AL1079" s="354"/>
      <c r="AM1079" s="354"/>
      <c r="AN1079" s="354"/>
      <c r="AO1079" s="354"/>
      <c r="AP1079" s="354"/>
      <c r="AQ1079" s="354"/>
      <c r="AR1079" s="354"/>
      <c r="AS1079" s="354"/>
      <c r="AT1079" s="354"/>
      <c r="AU1079" s="354"/>
      <c r="AV1079" s="354"/>
      <c r="AW1079" s="354"/>
    </row>
    <row r="1080" spans="1:49">
      <c r="A1080" s="354"/>
      <c r="B1080" s="354"/>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Y1080" s="354"/>
      <c r="Z1080" s="354"/>
      <c r="AA1080" s="354"/>
      <c r="AB1080" s="354"/>
      <c r="AC1080" s="354"/>
      <c r="AD1080" s="354"/>
      <c r="AE1080" s="354"/>
      <c r="AF1080" s="354"/>
      <c r="AG1080" s="354"/>
      <c r="AH1080" s="354"/>
      <c r="AI1080" s="354"/>
      <c r="AJ1080" s="354"/>
      <c r="AK1080" s="354"/>
      <c r="AL1080" s="354"/>
      <c r="AM1080" s="354"/>
      <c r="AN1080" s="354"/>
      <c r="AO1080" s="354"/>
      <c r="AP1080" s="354"/>
      <c r="AQ1080" s="354"/>
      <c r="AR1080" s="354"/>
      <c r="AS1080" s="354"/>
      <c r="AT1080" s="354"/>
      <c r="AU1080" s="354"/>
      <c r="AV1080" s="354"/>
      <c r="AW1080" s="354"/>
    </row>
    <row r="1081" spans="1:49">
      <c r="A1081" s="354"/>
      <c r="B1081" s="354"/>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Y1081" s="354"/>
      <c r="Z1081" s="354"/>
      <c r="AA1081" s="354"/>
      <c r="AB1081" s="354"/>
      <c r="AC1081" s="354"/>
      <c r="AD1081" s="354"/>
      <c r="AE1081" s="354"/>
      <c r="AF1081" s="354"/>
      <c r="AG1081" s="354"/>
      <c r="AH1081" s="354"/>
      <c r="AI1081" s="354"/>
      <c r="AJ1081" s="354"/>
      <c r="AK1081" s="354"/>
      <c r="AL1081" s="354"/>
      <c r="AM1081" s="354"/>
      <c r="AN1081" s="354"/>
      <c r="AO1081" s="354"/>
      <c r="AP1081" s="354"/>
      <c r="AQ1081" s="354"/>
      <c r="AR1081" s="354"/>
      <c r="AS1081" s="354"/>
      <c r="AT1081" s="354"/>
      <c r="AU1081" s="354"/>
      <c r="AV1081" s="354"/>
      <c r="AW1081" s="354"/>
    </row>
    <row r="1082" spans="1:49">
      <c r="A1082" s="354"/>
      <c r="B1082" s="354"/>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Y1082" s="354"/>
      <c r="Z1082" s="354"/>
      <c r="AA1082" s="354"/>
      <c r="AB1082" s="354"/>
      <c r="AC1082" s="354"/>
      <c r="AD1082" s="354"/>
      <c r="AE1082" s="354"/>
      <c r="AF1082" s="354"/>
      <c r="AG1082" s="354"/>
      <c r="AH1082" s="354"/>
      <c r="AI1082" s="354"/>
      <c r="AJ1082" s="354"/>
      <c r="AK1082" s="354"/>
      <c r="AL1082" s="354"/>
      <c r="AM1082" s="354"/>
      <c r="AN1082" s="354"/>
      <c r="AO1082" s="354"/>
      <c r="AP1082" s="354"/>
      <c r="AQ1082" s="354"/>
      <c r="AR1082" s="354"/>
      <c r="AS1082" s="354"/>
      <c r="AT1082" s="354"/>
      <c r="AU1082" s="354"/>
      <c r="AV1082" s="354"/>
      <c r="AW1082" s="354"/>
    </row>
    <row r="1083" spans="1:49">
      <c r="A1083" s="354"/>
      <c r="B1083" s="354"/>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Y1083" s="354"/>
      <c r="Z1083" s="354"/>
      <c r="AA1083" s="354"/>
      <c r="AB1083" s="354"/>
      <c r="AC1083" s="354"/>
      <c r="AD1083" s="354"/>
      <c r="AE1083" s="354"/>
      <c r="AF1083" s="354"/>
      <c r="AG1083" s="354"/>
      <c r="AH1083" s="354"/>
      <c r="AI1083" s="354"/>
      <c r="AJ1083" s="354"/>
      <c r="AK1083" s="354"/>
      <c r="AL1083" s="354"/>
      <c r="AM1083" s="354"/>
      <c r="AN1083" s="354"/>
      <c r="AO1083" s="354"/>
      <c r="AP1083" s="354"/>
      <c r="AQ1083" s="354"/>
      <c r="AR1083" s="354"/>
      <c r="AS1083" s="354"/>
      <c r="AT1083" s="354"/>
      <c r="AU1083" s="354"/>
      <c r="AV1083" s="354"/>
      <c r="AW1083" s="354"/>
    </row>
    <row r="1084" spans="1:49">
      <c r="A1084" s="354"/>
      <c r="B1084" s="354"/>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Y1084" s="354"/>
      <c r="Z1084" s="354"/>
      <c r="AA1084" s="354"/>
      <c r="AB1084" s="354"/>
      <c r="AC1084" s="354"/>
      <c r="AD1084" s="354"/>
      <c r="AE1084" s="354"/>
      <c r="AF1084" s="354"/>
      <c r="AG1084" s="354"/>
      <c r="AH1084" s="354"/>
      <c r="AI1084" s="354"/>
      <c r="AJ1084" s="354"/>
      <c r="AK1084" s="354"/>
      <c r="AL1084" s="354"/>
      <c r="AM1084" s="354"/>
      <c r="AN1084" s="354"/>
      <c r="AO1084" s="354"/>
      <c r="AP1084" s="354"/>
      <c r="AQ1084" s="354"/>
      <c r="AR1084" s="354"/>
      <c r="AS1084" s="354"/>
      <c r="AT1084" s="354"/>
      <c r="AU1084" s="354"/>
      <c r="AV1084" s="354"/>
      <c r="AW1084" s="354"/>
    </row>
    <row r="1085" spans="1:49">
      <c r="A1085" s="354"/>
      <c r="B1085" s="354"/>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Y1085" s="354"/>
      <c r="Z1085" s="354"/>
      <c r="AA1085" s="354"/>
      <c r="AB1085" s="354"/>
      <c r="AC1085" s="354"/>
      <c r="AD1085" s="354"/>
      <c r="AE1085" s="354"/>
      <c r="AF1085" s="354"/>
      <c r="AG1085" s="354"/>
      <c r="AH1085" s="354"/>
      <c r="AI1085" s="354"/>
      <c r="AJ1085" s="354"/>
      <c r="AK1085" s="354"/>
      <c r="AL1085" s="354"/>
      <c r="AM1085" s="354"/>
      <c r="AN1085" s="354"/>
      <c r="AO1085" s="354"/>
      <c r="AP1085" s="354"/>
      <c r="AQ1085" s="354"/>
      <c r="AR1085" s="354"/>
      <c r="AS1085" s="354"/>
      <c r="AT1085" s="354"/>
      <c r="AU1085" s="354"/>
      <c r="AV1085" s="354"/>
      <c r="AW1085" s="354"/>
    </row>
    <row r="1086" spans="1:49">
      <c r="A1086" s="354"/>
      <c r="B1086" s="354"/>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Y1086" s="354"/>
      <c r="Z1086" s="354"/>
      <c r="AA1086" s="354"/>
      <c r="AB1086" s="354"/>
      <c r="AC1086" s="354"/>
      <c r="AD1086" s="354"/>
      <c r="AE1086" s="354"/>
      <c r="AF1086" s="354"/>
      <c r="AG1086" s="354"/>
      <c r="AH1086" s="354"/>
      <c r="AI1086" s="354"/>
      <c r="AJ1086" s="354"/>
      <c r="AK1086" s="354"/>
      <c r="AL1086" s="354"/>
      <c r="AM1086" s="354"/>
      <c r="AN1086" s="354"/>
      <c r="AO1086" s="354"/>
      <c r="AP1086" s="354"/>
      <c r="AQ1086" s="354"/>
      <c r="AR1086" s="354"/>
      <c r="AS1086" s="354"/>
      <c r="AT1086" s="354"/>
      <c r="AU1086" s="354"/>
      <c r="AV1086" s="354"/>
      <c r="AW1086" s="354"/>
    </row>
    <row r="1087" spans="1:49">
      <c r="A1087" s="354"/>
      <c r="B1087" s="354"/>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Y1087" s="354"/>
      <c r="Z1087" s="354"/>
      <c r="AA1087" s="354"/>
      <c r="AB1087" s="354"/>
      <c r="AC1087" s="354"/>
      <c r="AD1087" s="354"/>
      <c r="AE1087" s="354"/>
      <c r="AF1087" s="354"/>
      <c r="AG1087" s="354"/>
      <c r="AH1087" s="354"/>
      <c r="AI1087" s="354"/>
      <c r="AJ1087" s="354"/>
      <c r="AK1087" s="354"/>
      <c r="AL1087" s="354"/>
      <c r="AM1087" s="354"/>
      <c r="AN1087" s="354"/>
      <c r="AO1087" s="354"/>
      <c r="AP1087" s="354"/>
      <c r="AQ1087" s="354"/>
      <c r="AR1087" s="354"/>
      <c r="AS1087" s="354"/>
      <c r="AT1087" s="354"/>
      <c r="AU1087" s="354"/>
      <c r="AV1087" s="354"/>
      <c r="AW1087" s="354"/>
    </row>
    <row r="1088" spans="1:49">
      <c r="A1088" s="354"/>
      <c r="B1088" s="354"/>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Y1088" s="354"/>
      <c r="Z1088" s="354"/>
      <c r="AA1088" s="354"/>
      <c r="AB1088" s="354"/>
      <c r="AC1088" s="354"/>
      <c r="AD1088" s="354"/>
      <c r="AE1088" s="354"/>
      <c r="AF1088" s="354"/>
      <c r="AG1088" s="354"/>
      <c r="AH1088" s="354"/>
      <c r="AI1088" s="354"/>
      <c r="AJ1088" s="354"/>
      <c r="AK1088" s="354"/>
      <c r="AL1088" s="354"/>
      <c r="AM1088" s="354"/>
      <c r="AN1088" s="354"/>
      <c r="AO1088" s="354"/>
      <c r="AP1088" s="354"/>
      <c r="AQ1088" s="354"/>
      <c r="AR1088" s="354"/>
      <c r="AS1088" s="354"/>
      <c r="AT1088" s="354"/>
      <c r="AU1088" s="354"/>
      <c r="AV1088" s="354"/>
      <c r="AW1088" s="354"/>
    </row>
    <row r="1089" spans="1:49">
      <c r="A1089" s="354"/>
      <c r="B1089" s="354"/>
      <c r="C1089" s="354"/>
      <c r="D1089" s="354"/>
      <c r="E1089" s="354"/>
      <c r="F1089" s="354"/>
      <c r="G1089" s="354"/>
      <c r="H1089" s="354"/>
      <c r="I1089" s="354"/>
      <c r="J1089" s="354"/>
      <c r="K1089" s="354"/>
      <c r="L1089" s="354"/>
      <c r="M1089" s="354"/>
      <c r="N1089" s="354"/>
      <c r="O1089" s="354"/>
      <c r="P1089" s="354"/>
      <c r="Q1089" s="354"/>
      <c r="R1089" s="354"/>
      <c r="S1089" s="354"/>
      <c r="T1089" s="354"/>
      <c r="U1089" s="354"/>
      <c r="V1089" s="354"/>
      <c r="W1089" s="354"/>
      <c r="X1089" s="354"/>
      <c r="Y1089" s="354"/>
      <c r="Z1089" s="354"/>
      <c r="AA1089" s="354"/>
      <c r="AB1089" s="354"/>
      <c r="AC1089" s="354"/>
      <c r="AD1089" s="354"/>
      <c r="AE1089" s="354"/>
      <c r="AF1089" s="354"/>
      <c r="AG1089" s="354"/>
      <c r="AH1089" s="354"/>
      <c r="AI1089" s="354"/>
      <c r="AJ1089" s="354"/>
      <c r="AK1089" s="354"/>
      <c r="AL1089" s="354"/>
      <c r="AM1089" s="354"/>
      <c r="AN1089" s="354"/>
      <c r="AO1089" s="354"/>
      <c r="AP1089" s="354"/>
      <c r="AQ1089" s="354"/>
      <c r="AR1089" s="354"/>
      <c r="AS1089" s="354"/>
      <c r="AT1089" s="354"/>
      <c r="AU1089" s="354"/>
      <c r="AV1089" s="354"/>
      <c r="AW1089" s="354"/>
    </row>
    <row r="1090" spans="1:49">
      <c r="A1090" s="354"/>
      <c r="B1090" s="354"/>
      <c r="C1090" s="354"/>
      <c r="D1090" s="354"/>
      <c r="E1090" s="354"/>
      <c r="F1090" s="354"/>
      <c r="G1090" s="354"/>
      <c r="H1090" s="354"/>
      <c r="I1090" s="354"/>
      <c r="J1090" s="354"/>
      <c r="K1090" s="354"/>
      <c r="L1090" s="354"/>
      <c r="M1090" s="354"/>
      <c r="N1090" s="354"/>
      <c r="O1090" s="354"/>
      <c r="P1090" s="354"/>
      <c r="Q1090" s="354"/>
      <c r="R1090" s="354"/>
      <c r="S1090" s="354"/>
      <c r="T1090" s="354"/>
      <c r="U1090" s="354"/>
      <c r="V1090" s="354"/>
      <c r="W1090" s="354"/>
      <c r="X1090" s="354"/>
      <c r="Y1090" s="354"/>
      <c r="Z1090" s="354"/>
      <c r="AA1090" s="354"/>
      <c r="AB1090" s="354"/>
      <c r="AC1090" s="354"/>
      <c r="AD1090" s="354"/>
      <c r="AE1090" s="354"/>
      <c r="AF1090" s="354"/>
      <c r="AG1090" s="354"/>
      <c r="AH1090" s="354"/>
      <c r="AI1090" s="354"/>
      <c r="AJ1090" s="354"/>
      <c r="AK1090" s="354"/>
      <c r="AL1090" s="354"/>
      <c r="AM1090" s="354"/>
      <c r="AN1090" s="354"/>
      <c r="AO1090" s="354"/>
      <c r="AP1090" s="354"/>
      <c r="AQ1090" s="354"/>
      <c r="AR1090" s="354"/>
      <c r="AS1090" s="354"/>
      <c r="AT1090" s="354"/>
      <c r="AU1090" s="354"/>
      <c r="AV1090" s="354"/>
      <c r="AW1090" s="354"/>
    </row>
    <row r="1091" spans="1:49">
      <c r="A1091" s="354"/>
      <c r="B1091" s="354"/>
      <c r="C1091" s="354"/>
      <c r="D1091" s="354"/>
      <c r="E1091" s="354"/>
      <c r="F1091" s="354"/>
      <c r="G1091" s="354"/>
      <c r="H1091" s="354"/>
      <c r="I1091" s="354"/>
      <c r="J1091" s="354"/>
      <c r="K1091" s="354"/>
      <c r="L1091" s="354"/>
      <c r="M1091" s="354"/>
      <c r="N1091" s="354"/>
      <c r="O1091" s="354"/>
      <c r="P1091" s="354"/>
      <c r="Q1091" s="354"/>
      <c r="R1091" s="354"/>
      <c r="S1091" s="354"/>
      <c r="T1091" s="354"/>
      <c r="U1091" s="354"/>
      <c r="V1091" s="354"/>
      <c r="W1091" s="354"/>
      <c r="X1091" s="354"/>
      <c r="Y1091" s="354"/>
      <c r="Z1091" s="354"/>
      <c r="AA1091" s="354"/>
      <c r="AB1091" s="354"/>
      <c r="AC1091" s="354"/>
      <c r="AD1091" s="354"/>
      <c r="AE1091" s="354"/>
      <c r="AF1091" s="354"/>
      <c r="AG1091" s="354"/>
      <c r="AH1091" s="354"/>
      <c r="AI1091" s="354"/>
      <c r="AJ1091" s="354"/>
      <c r="AK1091" s="354"/>
      <c r="AL1091" s="354"/>
      <c r="AM1091" s="354"/>
      <c r="AN1091" s="354"/>
      <c r="AO1091" s="354"/>
      <c r="AP1091" s="354"/>
      <c r="AQ1091" s="354"/>
      <c r="AR1091" s="354"/>
      <c r="AS1091" s="354"/>
      <c r="AT1091" s="354"/>
      <c r="AU1091" s="354"/>
      <c r="AV1091" s="354"/>
      <c r="AW1091" s="354"/>
    </row>
    <row r="1092" spans="1:49">
      <c r="A1092" s="354"/>
      <c r="B1092" s="354"/>
      <c r="C1092" s="354"/>
      <c r="D1092" s="354"/>
      <c r="E1092" s="354"/>
      <c r="F1092" s="354"/>
      <c r="G1092" s="354"/>
      <c r="H1092" s="354"/>
      <c r="I1092" s="354"/>
      <c r="J1092" s="354"/>
      <c r="K1092" s="354"/>
      <c r="L1092" s="354"/>
      <c r="M1092" s="354"/>
      <c r="N1092" s="354"/>
      <c r="O1092" s="354"/>
      <c r="P1092" s="354"/>
      <c r="Q1092" s="354"/>
      <c r="R1092" s="354"/>
      <c r="S1092" s="354"/>
      <c r="T1092" s="354"/>
      <c r="U1092" s="354"/>
      <c r="V1092" s="354"/>
      <c r="W1092" s="354"/>
      <c r="X1092" s="354"/>
      <c r="Y1092" s="354"/>
      <c r="Z1092" s="354"/>
      <c r="AA1092" s="354"/>
      <c r="AB1092" s="354"/>
      <c r="AC1092" s="354"/>
      <c r="AD1092" s="354"/>
      <c r="AE1092" s="354"/>
      <c r="AF1092" s="354"/>
      <c r="AG1092" s="354"/>
      <c r="AH1092" s="354"/>
      <c r="AI1092" s="354"/>
      <c r="AJ1092" s="354"/>
      <c r="AK1092" s="354"/>
      <c r="AL1092" s="354"/>
      <c r="AM1092" s="354"/>
      <c r="AN1092" s="354"/>
      <c r="AO1092" s="354"/>
      <c r="AP1092" s="354"/>
      <c r="AQ1092" s="354"/>
      <c r="AR1092" s="354"/>
      <c r="AS1092" s="354"/>
      <c r="AT1092" s="354"/>
      <c r="AU1092" s="354"/>
      <c r="AV1092" s="354"/>
      <c r="AW1092" s="354"/>
    </row>
    <row r="1093" spans="1:49">
      <c r="A1093" s="354"/>
      <c r="B1093" s="354"/>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Y1093" s="354"/>
      <c r="Z1093" s="354"/>
      <c r="AA1093" s="354"/>
      <c r="AB1093" s="354"/>
      <c r="AC1093" s="354"/>
      <c r="AD1093" s="354"/>
      <c r="AE1093" s="354"/>
      <c r="AF1093" s="354"/>
      <c r="AG1093" s="354"/>
      <c r="AH1093" s="354"/>
      <c r="AI1093" s="354"/>
      <c r="AJ1093" s="354"/>
      <c r="AK1093" s="354"/>
      <c r="AL1093" s="354"/>
      <c r="AM1093" s="354"/>
      <c r="AN1093" s="354"/>
      <c r="AO1093" s="354"/>
      <c r="AP1093" s="354"/>
      <c r="AQ1093" s="354"/>
      <c r="AR1093" s="354"/>
      <c r="AS1093" s="354"/>
      <c r="AT1093" s="354"/>
      <c r="AU1093" s="354"/>
      <c r="AV1093" s="354"/>
      <c r="AW1093" s="354"/>
    </row>
    <row r="1094" spans="1:49">
      <c r="A1094" s="354"/>
      <c r="B1094" s="354"/>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Y1094" s="354"/>
      <c r="Z1094" s="354"/>
      <c r="AA1094" s="354"/>
      <c r="AB1094" s="354"/>
      <c r="AC1094" s="354"/>
      <c r="AD1094" s="354"/>
      <c r="AE1094" s="354"/>
      <c r="AF1094" s="354"/>
      <c r="AG1094" s="354"/>
      <c r="AH1094" s="354"/>
      <c r="AI1094" s="354"/>
      <c r="AJ1094" s="354"/>
      <c r="AK1094" s="354"/>
      <c r="AL1094" s="354"/>
      <c r="AM1094" s="354"/>
      <c r="AN1094" s="354"/>
      <c r="AO1094" s="354"/>
      <c r="AP1094" s="354"/>
      <c r="AQ1094" s="354"/>
      <c r="AR1094" s="354"/>
      <c r="AS1094" s="354"/>
      <c r="AT1094" s="354"/>
      <c r="AU1094" s="354"/>
      <c r="AV1094" s="354"/>
      <c r="AW1094" s="354"/>
    </row>
    <row r="1095" spans="1:49">
      <c r="A1095" s="354"/>
      <c r="B1095" s="354"/>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Y1095" s="354"/>
      <c r="Z1095" s="354"/>
      <c r="AA1095" s="354"/>
      <c r="AB1095" s="354"/>
      <c r="AC1095" s="354"/>
      <c r="AD1095" s="354"/>
      <c r="AE1095" s="354"/>
      <c r="AF1095" s="354"/>
      <c r="AG1095" s="354"/>
      <c r="AH1095" s="354"/>
      <c r="AI1095" s="354"/>
      <c r="AJ1095" s="354"/>
      <c r="AK1095" s="354"/>
      <c r="AL1095" s="354"/>
      <c r="AM1095" s="354"/>
      <c r="AN1095" s="354"/>
      <c r="AO1095" s="354"/>
      <c r="AP1095" s="354"/>
      <c r="AQ1095" s="354"/>
      <c r="AR1095" s="354"/>
      <c r="AS1095" s="354"/>
      <c r="AT1095" s="354"/>
      <c r="AU1095" s="354"/>
      <c r="AV1095" s="354"/>
      <c r="AW1095" s="354"/>
    </row>
    <row r="1096" spans="1:49">
      <c r="A1096" s="354"/>
      <c r="B1096" s="354"/>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Y1096" s="354"/>
      <c r="Z1096" s="354"/>
      <c r="AA1096" s="354"/>
      <c r="AB1096" s="354"/>
      <c r="AC1096" s="354"/>
      <c r="AD1096" s="354"/>
      <c r="AE1096" s="354"/>
      <c r="AF1096" s="354"/>
      <c r="AG1096" s="354"/>
      <c r="AH1096" s="354"/>
      <c r="AI1096" s="354"/>
      <c r="AJ1096" s="354"/>
      <c r="AK1096" s="354"/>
      <c r="AL1096" s="354"/>
      <c r="AM1096" s="354"/>
      <c r="AN1096" s="354"/>
      <c r="AO1096" s="354"/>
      <c r="AP1096" s="354"/>
      <c r="AQ1096" s="354"/>
      <c r="AR1096" s="354"/>
      <c r="AS1096" s="354"/>
      <c r="AT1096" s="354"/>
      <c r="AU1096" s="354"/>
      <c r="AV1096" s="354"/>
      <c r="AW1096" s="354"/>
    </row>
    <row r="1097" spans="1:49">
      <c r="A1097" s="354"/>
      <c r="B1097" s="354"/>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Y1097" s="354"/>
      <c r="Z1097" s="354"/>
      <c r="AA1097" s="354"/>
      <c r="AB1097" s="354"/>
      <c r="AC1097" s="354"/>
      <c r="AD1097" s="354"/>
      <c r="AE1097" s="354"/>
      <c r="AF1097" s="354"/>
      <c r="AG1097" s="354"/>
      <c r="AH1097" s="354"/>
      <c r="AI1097" s="354"/>
      <c r="AJ1097" s="354"/>
      <c r="AK1097" s="354"/>
      <c r="AL1097" s="354"/>
      <c r="AM1097" s="354"/>
      <c r="AN1097" s="354"/>
      <c r="AO1097" s="354"/>
      <c r="AP1097" s="354"/>
      <c r="AQ1097" s="354"/>
      <c r="AR1097" s="354"/>
      <c r="AS1097" s="354"/>
      <c r="AT1097" s="354"/>
      <c r="AU1097" s="354"/>
      <c r="AV1097" s="354"/>
      <c r="AW1097" s="354"/>
    </row>
    <row r="1098" spans="1:49">
      <c r="A1098" s="354"/>
      <c r="B1098" s="354"/>
      <c r="C1098" s="354"/>
      <c r="D1098" s="354"/>
      <c r="E1098" s="354"/>
      <c r="F1098" s="354"/>
      <c r="G1098" s="354"/>
      <c r="H1098" s="354"/>
      <c r="I1098" s="354"/>
      <c r="J1098" s="354"/>
      <c r="K1098" s="354"/>
      <c r="L1098" s="354"/>
      <c r="M1098" s="354"/>
      <c r="N1098" s="354"/>
      <c r="O1098" s="354"/>
      <c r="P1098" s="354"/>
      <c r="Q1098" s="354"/>
      <c r="R1098" s="354"/>
      <c r="S1098" s="354"/>
      <c r="T1098" s="354"/>
      <c r="U1098" s="354"/>
      <c r="V1098" s="354"/>
      <c r="W1098" s="354"/>
      <c r="X1098" s="354"/>
      <c r="Y1098" s="354"/>
      <c r="Z1098" s="354"/>
      <c r="AA1098" s="354"/>
      <c r="AB1098" s="354"/>
      <c r="AC1098" s="354"/>
      <c r="AD1098" s="354"/>
      <c r="AE1098" s="354"/>
      <c r="AF1098" s="354"/>
      <c r="AG1098" s="354"/>
      <c r="AH1098" s="354"/>
      <c r="AI1098" s="354"/>
      <c r="AJ1098" s="354"/>
      <c r="AK1098" s="354"/>
      <c r="AL1098" s="354"/>
      <c r="AM1098" s="354"/>
      <c r="AN1098" s="354"/>
      <c r="AO1098" s="354"/>
      <c r="AP1098" s="354"/>
      <c r="AQ1098" s="354"/>
      <c r="AR1098" s="354"/>
      <c r="AS1098" s="354"/>
      <c r="AT1098" s="354"/>
      <c r="AU1098" s="354"/>
      <c r="AV1098" s="354"/>
      <c r="AW1098" s="354"/>
    </row>
    <row r="1099" spans="1:49">
      <c r="A1099" s="354"/>
      <c r="B1099" s="354"/>
      <c r="C1099" s="354"/>
      <c r="D1099" s="354"/>
      <c r="E1099" s="354"/>
      <c r="F1099" s="354"/>
      <c r="G1099" s="354"/>
      <c r="H1099" s="354"/>
      <c r="I1099" s="354"/>
      <c r="J1099" s="354"/>
      <c r="K1099" s="354"/>
      <c r="L1099" s="354"/>
      <c r="M1099" s="354"/>
      <c r="N1099" s="354"/>
      <c r="O1099" s="354"/>
      <c r="P1099" s="354"/>
      <c r="Q1099" s="354"/>
      <c r="R1099" s="354"/>
      <c r="S1099" s="354"/>
      <c r="T1099" s="354"/>
      <c r="U1099" s="354"/>
      <c r="V1099" s="354"/>
      <c r="W1099" s="354"/>
      <c r="X1099" s="354"/>
      <c r="Y1099" s="354"/>
      <c r="Z1099" s="354"/>
      <c r="AA1099" s="354"/>
      <c r="AB1099" s="354"/>
      <c r="AC1099" s="354"/>
      <c r="AD1099" s="354"/>
      <c r="AE1099" s="354"/>
      <c r="AF1099" s="354"/>
      <c r="AG1099" s="354"/>
      <c r="AH1099" s="354"/>
      <c r="AI1099" s="354"/>
      <c r="AJ1099" s="354"/>
      <c r="AK1099" s="354"/>
      <c r="AL1099" s="354"/>
      <c r="AM1099" s="354"/>
      <c r="AN1099" s="354"/>
      <c r="AO1099" s="354"/>
      <c r="AP1099" s="354"/>
      <c r="AQ1099" s="354"/>
      <c r="AR1099" s="354"/>
      <c r="AS1099" s="354"/>
      <c r="AT1099" s="354"/>
      <c r="AU1099" s="354"/>
      <c r="AV1099" s="354"/>
      <c r="AW1099" s="354"/>
    </row>
    <row r="1100" spans="1:49">
      <c r="A1100" s="354"/>
      <c r="B1100" s="354"/>
      <c r="C1100" s="354"/>
      <c r="D1100" s="354"/>
      <c r="E1100" s="354"/>
      <c r="F1100" s="354"/>
      <c r="G1100" s="354"/>
      <c r="H1100" s="354"/>
      <c r="I1100" s="354"/>
      <c r="J1100" s="354"/>
      <c r="K1100" s="354"/>
      <c r="L1100" s="354"/>
      <c r="M1100" s="354"/>
      <c r="N1100" s="354"/>
      <c r="O1100" s="354"/>
      <c r="P1100" s="354"/>
      <c r="Q1100" s="354"/>
      <c r="R1100" s="354"/>
      <c r="S1100" s="354"/>
      <c r="T1100" s="354"/>
      <c r="U1100" s="354"/>
      <c r="V1100" s="354"/>
      <c r="W1100" s="354"/>
      <c r="X1100" s="354"/>
      <c r="Y1100" s="354"/>
      <c r="Z1100" s="354"/>
      <c r="AA1100" s="354"/>
      <c r="AB1100" s="354"/>
      <c r="AC1100" s="354"/>
      <c r="AD1100" s="354"/>
      <c r="AE1100" s="354"/>
      <c r="AF1100" s="354"/>
      <c r="AG1100" s="354"/>
      <c r="AH1100" s="354"/>
      <c r="AI1100" s="354"/>
      <c r="AJ1100" s="354"/>
      <c r="AK1100" s="354"/>
      <c r="AL1100" s="354"/>
      <c r="AM1100" s="354"/>
      <c r="AN1100" s="354"/>
      <c r="AO1100" s="354"/>
      <c r="AP1100" s="354"/>
      <c r="AQ1100" s="354"/>
      <c r="AR1100" s="354"/>
      <c r="AS1100" s="354"/>
      <c r="AT1100" s="354"/>
      <c r="AU1100" s="354"/>
      <c r="AV1100" s="354"/>
      <c r="AW1100" s="354"/>
    </row>
    <row r="1101" spans="1:49">
      <c r="A1101" s="354"/>
      <c r="B1101" s="354"/>
      <c r="C1101" s="354"/>
      <c r="D1101" s="354"/>
      <c r="E1101" s="354"/>
      <c r="F1101" s="354"/>
      <c r="G1101" s="354"/>
      <c r="H1101" s="354"/>
      <c r="I1101" s="354"/>
      <c r="J1101" s="354"/>
      <c r="K1101" s="354"/>
      <c r="L1101" s="354"/>
      <c r="M1101" s="354"/>
      <c r="N1101" s="354"/>
      <c r="O1101" s="354"/>
      <c r="P1101" s="354"/>
      <c r="Q1101" s="354"/>
      <c r="R1101" s="354"/>
      <c r="S1101" s="354"/>
      <c r="T1101" s="354"/>
      <c r="U1101" s="354"/>
      <c r="V1101" s="354"/>
      <c r="W1101" s="354"/>
      <c r="X1101" s="354"/>
      <c r="Y1101" s="354"/>
      <c r="Z1101" s="354"/>
      <c r="AA1101" s="354"/>
      <c r="AB1101" s="354"/>
      <c r="AC1101" s="354"/>
      <c r="AD1101" s="354"/>
      <c r="AE1101" s="354"/>
      <c r="AF1101" s="354"/>
      <c r="AG1101" s="354"/>
      <c r="AH1101" s="354"/>
      <c r="AI1101" s="354"/>
      <c r="AJ1101" s="354"/>
      <c r="AK1101" s="354"/>
      <c r="AL1101" s="354"/>
      <c r="AM1101" s="354"/>
      <c r="AN1101" s="354"/>
      <c r="AO1101" s="354"/>
      <c r="AP1101" s="354"/>
      <c r="AQ1101" s="354"/>
      <c r="AR1101" s="354"/>
      <c r="AS1101" s="354"/>
      <c r="AT1101" s="354"/>
      <c r="AU1101" s="354"/>
      <c r="AV1101" s="354"/>
      <c r="AW1101" s="354"/>
    </row>
    <row r="1102" spans="1:49">
      <c r="A1102" s="354"/>
      <c r="B1102" s="354"/>
      <c r="C1102" s="354"/>
      <c r="D1102" s="354"/>
      <c r="E1102" s="354"/>
      <c r="F1102" s="354"/>
      <c r="G1102" s="354"/>
      <c r="H1102" s="354"/>
      <c r="I1102" s="354"/>
      <c r="J1102" s="354"/>
      <c r="K1102" s="354"/>
      <c r="L1102" s="354"/>
      <c r="M1102" s="354"/>
      <c r="N1102" s="354"/>
      <c r="O1102" s="354"/>
      <c r="P1102" s="354"/>
      <c r="Q1102" s="354"/>
      <c r="R1102" s="354"/>
      <c r="S1102" s="354"/>
      <c r="T1102" s="354"/>
      <c r="U1102" s="354"/>
      <c r="V1102" s="354"/>
      <c r="W1102" s="354"/>
      <c r="X1102" s="354"/>
      <c r="Y1102" s="354"/>
      <c r="Z1102" s="354"/>
      <c r="AA1102" s="354"/>
      <c r="AB1102" s="354"/>
      <c r="AC1102" s="354"/>
      <c r="AD1102" s="354"/>
      <c r="AE1102" s="354"/>
      <c r="AF1102" s="354"/>
      <c r="AG1102" s="354"/>
      <c r="AH1102" s="354"/>
      <c r="AI1102" s="354"/>
      <c r="AJ1102" s="354"/>
      <c r="AK1102" s="354"/>
      <c r="AL1102" s="354"/>
      <c r="AM1102" s="354"/>
      <c r="AN1102" s="354"/>
      <c r="AO1102" s="354"/>
      <c r="AP1102" s="354"/>
      <c r="AQ1102" s="354"/>
      <c r="AR1102" s="354"/>
      <c r="AS1102" s="354"/>
      <c r="AT1102" s="354"/>
      <c r="AU1102" s="354"/>
      <c r="AV1102" s="354"/>
      <c r="AW1102" s="354"/>
    </row>
    <row r="1103" spans="1:49">
      <c r="A1103" s="354"/>
      <c r="B1103" s="354"/>
      <c r="C1103" s="354"/>
      <c r="D1103" s="354"/>
      <c r="E1103" s="354"/>
      <c r="F1103" s="354"/>
      <c r="G1103" s="354"/>
      <c r="H1103" s="354"/>
      <c r="I1103" s="354"/>
      <c r="J1103" s="354"/>
      <c r="K1103" s="354"/>
      <c r="L1103" s="354"/>
      <c r="M1103" s="354"/>
      <c r="N1103" s="354"/>
      <c r="O1103" s="354"/>
      <c r="P1103" s="354"/>
      <c r="Q1103" s="354"/>
      <c r="R1103" s="354"/>
      <c r="S1103" s="354"/>
      <c r="T1103" s="354"/>
      <c r="U1103" s="354"/>
      <c r="V1103" s="354"/>
      <c r="W1103" s="354"/>
      <c r="X1103" s="354"/>
      <c r="Y1103" s="354"/>
      <c r="Z1103" s="354"/>
      <c r="AA1103" s="354"/>
      <c r="AB1103" s="354"/>
      <c r="AC1103" s="354"/>
      <c r="AD1103" s="354"/>
      <c r="AE1103" s="354"/>
      <c r="AF1103" s="354"/>
      <c r="AG1103" s="354"/>
      <c r="AH1103" s="354"/>
      <c r="AI1103" s="354"/>
      <c r="AJ1103" s="354"/>
      <c r="AK1103" s="354"/>
      <c r="AL1103" s="354"/>
      <c r="AM1103" s="354"/>
      <c r="AN1103" s="354"/>
      <c r="AO1103" s="354"/>
      <c r="AP1103" s="354"/>
      <c r="AQ1103" s="354"/>
      <c r="AR1103" s="354"/>
      <c r="AS1103" s="354"/>
      <c r="AT1103" s="354"/>
      <c r="AU1103" s="354"/>
      <c r="AV1103" s="354"/>
      <c r="AW1103" s="354"/>
    </row>
    <row r="1104" spans="1:49">
      <c r="A1104" s="354"/>
      <c r="B1104" s="354"/>
      <c r="C1104" s="354"/>
      <c r="D1104" s="354"/>
      <c r="E1104" s="354"/>
      <c r="F1104" s="354"/>
      <c r="G1104" s="354"/>
      <c r="H1104" s="354"/>
      <c r="I1104" s="354"/>
      <c r="J1104" s="354"/>
      <c r="K1104" s="354"/>
      <c r="L1104" s="354"/>
      <c r="M1104" s="354"/>
      <c r="N1104" s="354"/>
      <c r="O1104" s="354"/>
      <c r="P1104" s="354"/>
      <c r="Q1104" s="354"/>
      <c r="R1104" s="354"/>
      <c r="S1104" s="354"/>
      <c r="T1104" s="354"/>
      <c r="U1104" s="354"/>
      <c r="V1104" s="354"/>
      <c r="W1104" s="354"/>
      <c r="X1104" s="354"/>
      <c r="Y1104" s="354"/>
      <c r="Z1104" s="354"/>
      <c r="AA1104" s="354"/>
      <c r="AB1104" s="354"/>
      <c r="AC1104" s="354"/>
      <c r="AD1104" s="354"/>
      <c r="AE1104" s="354"/>
      <c r="AF1104" s="354"/>
      <c r="AG1104" s="354"/>
      <c r="AH1104" s="354"/>
      <c r="AI1104" s="354"/>
      <c r="AJ1104" s="354"/>
      <c r="AK1104" s="354"/>
      <c r="AL1104" s="354"/>
      <c r="AM1104" s="354"/>
      <c r="AN1104" s="354"/>
      <c r="AO1104" s="354"/>
      <c r="AP1104" s="354"/>
      <c r="AQ1104" s="354"/>
      <c r="AR1104" s="354"/>
      <c r="AS1104" s="354"/>
      <c r="AT1104" s="354"/>
      <c r="AU1104" s="354"/>
      <c r="AV1104" s="354"/>
      <c r="AW1104" s="354"/>
    </row>
    <row r="1105" spans="1:49">
      <c r="A1105" s="354"/>
      <c r="B1105" s="354"/>
      <c r="C1105" s="354"/>
      <c r="D1105" s="354"/>
      <c r="E1105" s="354"/>
      <c r="F1105" s="354"/>
      <c r="G1105" s="354"/>
      <c r="H1105" s="354"/>
      <c r="I1105" s="354"/>
      <c r="J1105" s="354"/>
      <c r="K1105" s="354"/>
      <c r="L1105" s="354"/>
      <c r="M1105" s="354"/>
      <c r="N1105" s="354"/>
      <c r="O1105" s="354"/>
      <c r="P1105" s="354"/>
      <c r="Q1105" s="354"/>
      <c r="R1105" s="354"/>
      <c r="S1105" s="354"/>
      <c r="T1105" s="354"/>
      <c r="U1105" s="354"/>
      <c r="V1105" s="354"/>
      <c r="W1105" s="354"/>
      <c r="X1105" s="354"/>
      <c r="Y1105" s="354"/>
      <c r="Z1105" s="354"/>
      <c r="AA1105" s="354"/>
      <c r="AB1105" s="354"/>
      <c r="AC1105" s="354"/>
      <c r="AD1105" s="354"/>
      <c r="AE1105" s="354"/>
      <c r="AF1105" s="354"/>
      <c r="AG1105" s="354"/>
      <c r="AH1105" s="354"/>
      <c r="AI1105" s="354"/>
      <c r="AJ1105" s="354"/>
      <c r="AK1105" s="354"/>
      <c r="AL1105" s="354"/>
      <c r="AM1105" s="354"/>
      <c r="AN1105" s="354"/>
      <c r="AO1105" s="354"/>
      <c r="AP1105" s="354"/>
      <c r="AQ1105" s="354"/>
      <c r="AR1105" s="354"/>
      <c r="AS1105" s="354"/>
      <c r="AT1105" s="354"/>
      <c r="AU1105" s="354"/>
      <c r="AV1105" s="354"/>
      <c r="AW1105" s="354"/>
    </row>
    <row r="1106" spans="1:49">
      <c r="A1106" s="354"/>
      <c r="B1106" s="354"/>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Y1106" s="354"/>
      <c r="Z1106" s="354"/>
      <c r="AA1106" s="354"/>
      <c r="AB1106" s="354"/>
      <c r="AC1106" s="354"/>
      <c r="AD1106" s="354"/>
      <c r="AE1106" s="354"/>
      <c r="AF1106" s="354"/>
      <c r="AG1106" s="354"/>
      <c r="AH1106" s="354"/>
      <c r="AI1106" s="354"/>
      <c r="AJ1106" s="354"/>
      <c r="AK1106" s="354"/>
      <c r="AL1106" s="354"/>
      <c r="AM1106" s="354"/>
      <c r="AN1106" s="354"/>
      <c r="AO1106" s="354"/>
      <c r="AP1106" s="354"/>
      <c r="AQ1106" s="354"/>
      <c r="AR1106" s="354"/>
      <c r="AS1106" s="354"/>
      <c r="AT1106" s="354"/>
      <c r="AU1106" s="354"/>
      <c r="AV1106" s="354"/>
      <c r="AW1106" s="354"/>
    </row>
    <row r="1107" spans="1:49">
      <c r="A1107" s="354"/>
      <c r="B1107" s="354"/>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Y1107" s="354"/>
      <c r="Z1107" s="354"/>
      <c r="AA1107" s="354"/>
      <c r="AB1107" s="354"/>
      <c r="AC1107" s="354"/>
      <c r="AD1107" s="354"/>
      <c r="AE1107" s="354"/>
      <c r="AF1107" s="354"/>
      <c r="AG1107" s="354"/>
      <c r="AH1107" s="354"/>
      <c r="AI1107" s="354"/>
      <c r="AJ1107" s="354"/>
      <c r="AK1107" s="354"/>
      <c r="AL1107" s="354"/>
      <c r="AM1107" s="354"/>
      <c r="AN1107" s="354"/>
      <c r="AO1107" s="354"/>
      <c r="AP1107" s="354"/>
      <c r="AQ1107" s="354"/>
      <c r="AR1107" s="354"/>
      <c r="AS1107" s="354"/>
      <c r="AT1107" s="354"/>
      <c r="AU1107" s="354"/>
      <c r="AV1107" s="354"/>
      <c r="AW1107" s="354"/>
    </row>
    <row r="1108" spans="1:49">
      <c r="A1108" s="354"/>
      <c r="B1108" s="354"/>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Y1108" s="354"/>
      <c r="Z1108" s="354"/>
      <c r="AA1108" s="354"/>
      <c r="AB1108" s="354"/>
      <c r="AC1108" s="354"/>
      <c r="AD1108" s="354"/>
      <c r="AE1108" s="354"/>
      <c r="AF1108" s="354"/>
      <c r="AG1108" s="354"/>
      <c r="AH1108" s="354"/>
      <c r="AI1108" s="354"/>
      <c r="AJ1108" s="354"/>
      <c r="AK1108" s="354"/>
      <c r="AL1108" s="354"/>
      <c r="AM1108" s="354"/>
      <c r="AN1108" s="354"/>
      <c r="AO1108" s="354"/>
      <c r="AP1108" s="354"/>
      <c r="AQ1108" s="354"/>
      <c r="AR1108" s="354"/>
      <c r="AS1108" s="354"/>
      <c r="AT1108" s="354"/>
      <c r="AU1108" s="354"/>
      <c r="AV1108" s="354"/>
      <c r="AW1108" s="354"/>
    </row>
    <row r="1109" spans="1:49">
      <c r="A1109" s="354"/>
      <c r="B1109" s="354"/>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Y1109" s="354"/>
      <c r="Z1109" s="354"/>
      <c r="AA1109" s="354"/>
      <c r="AB1109" s="354"/>
      <c r="AC1109" s="354"/>
      <c r="AD1109" s="354"/>
      <c r="AE1109" s="354"/>
      <c r="AF1109" s="354"/>
      <c r="AG1109" s="354"/>
      <c r="AH1109" s="354"/>
      <c r="AI1109" s="354"/>
      <c r="AJ1109" s="354"/>
      <c r="AK1109" s="354"/>
      <c r="AL1109" s="354"/>
      <c r="AM1109" s="354"/>
      <c r="AN1109" s="354"/>
      <c r="AO1109" s="354"/>
      <c r="AP1109" s="354"/>
      <c r="AQ1109" s="354"/>
      <c r="AR1109" s="354"/>
      <c r="AS1109" s="354"/>
      <c r="AT1109" s="354"/>
      <c r="AU1109" s="354"/>
      <c r="AV1109" s="354"/>
      <c r="AW1109" s="354"/>
    </row>
    <row r="1110" spans="1:49">
      <c r="A1110" s="354"/>
      <c r="B1110" s="354"/>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Y1110" s="354"/>
      <c r="Z1110" s="354"/>
      <c r="AA1110" s="354"/>
      <c r="AB1110" s="354"/>
      <c r="AC1110" s="354"/>
      <c r="AD1110" s="354"/>
      <c r="AE1110" s="354"/>
      <c r="AF1110" s="354"/>
      <c r="AG1110" s="354"/>
      <c r="AH1110" s="354"/>
      <c r="AI1110" s="354"/>
      <c r="AJ1110" s="354"/>
      <c r="AK1110" s="354"/>
      <c r="AL1110" s="354"/>
      <c r="AM1110" s="354"/>
      <c r="AN1110" s="354"/>
      <c r="AO1110" s="354"/>
      <c r="AP1110" s="354"/>
      <c r="AQ1110" s="354"/>
      <c r="AR1110" s="354"/>
      <c r="AS1110" s="354"/>
      <c r="AT1110" s="354"/>
      <c r="AU1110" s="354"/>
      <c r="AV1110" s="354"/>
      <c r="AW1110" s="354"/>
    </row>
    <row r="1111" spans="1:49">
      <c r="A1111" s="354"/>
      <c r="B1111" s="354"/>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Y1111" s="354"/>
      <c r="Z1111" s="354"/>
      <c r="AA1111" s="354"/>
      <c r="AB1111" s="354"/>
      <c r="AC1111" s="354"/>
      <c r="AD1111" s="354"/>
      <c r="AE1111" s="354"/>
      <c r="AF1111" s="354"/>
      <c r="AG1111" s="354"/>
      <c r="AH1111" s="354"/>
      <c r="AI1111" s="354"/>
      <c r="AJ1111" s="354"/>
      <c r="AK1111" s="354"/>
      <c r="AL1111" s="354"/>
      <c r="AM1111" s="354"/>
      <c r="AN1111" s="354"/>
      <c r="AO1111" s="354"/>
      <c r="AP1111" s="354"/>
      <c r="AQ1111" s="354"/>
      <c r="AR1111" s="354"/>
      <c r="AS1111" s="354"/>
      <c r="AT1111" s="354"/>
      <c r="AU1111" s="354"/>
      <c r="AV1111" s="354"/>
      <c r="AW1111" s="354"/>
    </row>
    <row r="1112" spans="1:49">
      <c r="A1112" s="354"/>
      <c r="B1112" s="354"/>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Y1112" s="354"/>
      <c r="Z1112" s="354"/>
      <c r="AA1112" s="354"/>
      <c r="AB1112" s="354"/>
      <c r="AC1112" s="354"/>
      <c r="AD1112" s="354"/>
      <c r="AE1112" s="354"/>
      <c r="AF1112" s="354"/>
      <c r="AG1112" s="354"/>
      <c r="AH1112" s="354"/>
      <c r="AI1112" s="354"/>
      <c r="AJ1112" s="354"/>
      <c r="AK1112" s="354"/>
      <c r="AL1112" s="354"/>
      <c r="AM1112" s="354"/>
      <c r="AN1112" s="354"/>
      <c r="AO1112" s="354"/>
      <c r="AP1112" s="354"/>
      <c r="AQ1112" s="354"/>
      <c r="AR1112" s="354"/>
      <c r="AS1112" s="354"/>
      <c r="AT1112" s="354"/>
      <c r="AU1112" s="354"/>
      <c r="AV1112" s="354"/>
      <c r="AW1112" s="354"/>
    </row>
    <row r="1113" spans="1:49">
      <c r="A1113" s="354"/>
      <c r="B1113" s="354"/>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Y1113" s="354"/>
      <c r="Z1113" s="354"/>
      <c r="AA1113" s="354"/>
      <c r="AB1113" s="354"/>
      <c r="AC1113" s="354"/>
      <c r="AD1113" s="354"/>
      <c r="AE1113" s="354"/>
      <c r="AF1113" s="354"/>
      <c r="AG1113" s="354"/>
      <c r="AH1113" s="354"/>
      <c r="AI1113" s="354"/>
      <c r="AJ1113" s="354"/>
      <c r="AK1113" s="354"/>
      <c r="AL1113" s="354"/>
      <c r="AM1113" s="354"/>
      <c r="AN1113" s="354"/>
      <c r="AO1113" s="354"/>
      <c r="AP1113" s="354"/>
      <c r="AQ1113" s="354"/>
      <c r="AR1113" s="354"/>
      <c r="AS1113" s="354"/>
      <c r="AT1113" s="354"/>
      <c r="AU1113" s="354"/>
      <c r="AV1113" s="354"/>
      <c r="AW1113" s="354"/>
    </row>
    <row r="1114" spans="1:49">
      <c r="A1114" s="354"/>
      <c r="B1114" s="354"/>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Y1114" s="354"/>
      <c r="Z1114" s="354"/>
      <c r="AA1114" s="354"/>
      <c r="AB1114" s="354"/>
      <c r="AC1114" s="354"/>
      <c r="AD1114" s="354"/>
      <c r="AE1114" s="354"/>
      <c r="AF1114" s="354"/>
      <c r="AG1114" s="354"/>
      <c r="AH1114" s="354"/>
      <c r="AI1114" s="354"/>
      <c r="AJ1114" s="354"/>
      <c r="AK1114" s="354"/>
      <c r="AL1114" s="354"/>
      <c r="AM1114" s="354"/>
      <c r="AN1114" s="354"/>
      <c r="AO1114" s="354"/>
      <c r="AP1114" s="354"/>
      <c r="AQ1114" s="354"/>
      <c r="AR1114" s="354"/>
      <c r="AS1114" s="354"/>
      <c r="AT1114" s="354"/>
      <c r="AU1114" s="354"/>
      <c r="AV1114" s="354"/>
      <c r="AW1114" s="354"/>
    </row>
    <row r="1115" spans="1:49">
      <c r="A1115" s="354"/>
      <c r="B1115" s="354"/>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Y1115" s="354"/>
      <c r="Z1115" s="354"/>
      <c r="AA1115" s="354"/>
      <c r="AB1115" s="354"/>
      <c r="AC1115" s="354"/>
      <c r="AD1115" s="354"/>
      <c r="AE1115" s="354"/>
      <c r="AF1115" s="354"/>
      <c r="AG1115" s="354"/>
      <c r="AH1115" s="354"/>
      <c r="AI1115" s="354"/>
      <c r="AJ1115" s="354"/>
      <c r="AK1115" s="354"/>
      <c r="AL1115" s="354"/>
      <c r="AM1115" s="354"/>
      <c r="AN1115" s="354"/>
      <c r="AO1115" s="354"/>
      <c r="AP1115" s="354"/>
      <c r="AQ1115" s="354"/>
      <c r="AR1115" s="354"/>
      <c r="AS1115" s="354"/>
      <c r="AT1115" s="354"/>
      <c r="AU1115" s="354"/>
      <c r="AV1115" s="354"/>
      <c r="AW1115" s="354"/>
    </row>
    <row r="1116" spans="1:49">
      <c r="A1116" s="354"/>
      <c r="B1116" s="354"/>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Y1116" s="354"/>
      <c r="Z1116" s="354"/>
      <c r="AA1116" s="354"/>
      <c r="AB1116" s="354"/>
      <c r="AC1116" s="354"/>
      <c r="AD1116" s="354"/>
      <c r="AE1116" s="354"/>
      <c r="AF1116" s="354"/>
      <c r="AG1116" s="354"/>
      <c r="AH1116" s="354"/>
      <c r="AI1116" s="354"/>
      <c r="AJ1116" s="354"/>
      <c r="AK1116" s="354"/>
      <c r="AL1116" s="354"/>
      <c r="AM1116" s="354"/>
      <c r="AN1116" s="354"/>
      <c r="AO1116" s="354"/>
      <c r="AP1116" s="354"/>
      <c r="AQ1116" s="354"/>
      <c r="AR1116" s="354"/>
      <c r="AS1116" s="354"/>
      <c r="AT1116" s="354"/>
      <c r="AU1116" s="354"/>
      <c r="AV1116" s="354"/>
      <c r="AW1116" s="354"/>
    </row>
    <row r="1117" spans="1:49">
      <c r="A1117" s="354"/>
      <c r="B1117" s="354"/>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Y1117" s="354"/>
      <c r="Z1117" s="354"/>
      <c r="AA1117" s="354"/>
      <c r="AB1117" s="354"/>
      <c r="AC1117" s="354"/>
      <c r="AD1117" s="354"/>
      <c r="AE1117" s="354"/>
      <c r="AF1117" s="354"/>
      <c r="AG1117" s="354"/>
      <c r="AH1117" s="354"/>
      <c r="AI1117" s="354"/>
      <c r="AJ1117" s="354"/>
      <c r="AK1117" s="354"/>
      <c r="AL1117" s="354"/>
      <c r="AM1117" s="354"/>
      <c r="AN1117" s="354"/>
      <c r="AO1117" s="354"/>
      <c r="AP1117" s="354"/>
      <c r="AQ1117" s="354"/>
      <c r="AR1117" s="354"/>
      <c r="AS1117" s="354"/>
      <c r="AT1117" s="354"/>
      <c r="AU1117" s="354"/>
      <c r="AV1117" s="354"/>
      <c r="AW1117" s="354"/>
    </row>
    <row r="1118" spans="1:49">
      <c r="A1118" s="354"/>
      <c r="B1118" s="354"/>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Y1118" s="354"/>
      <c r="Z1118" s="354"/>
      <c r="AA1118" s="354"/>
      <c r="AB1118" s="354"/>
      <c r="AC1118" s="354"/>
      <c r="AD1118" s="354"/>
      <c r="AE1118" s="354"/>
      <c r="AF1118" s="354"/>
      <c r="AG1118" s="354"/>
      <c r="AH1118" s="354"/>
      <c r="AI1118" s="354"/>
      <c r="AJ1118" s="354"/>
      <c r="AK1118" s="354"/>
      <c r="AL1118" s="354"/>
      <c r="AM1118" s="354"/>
      <c r="AN1118" s="354"/>
      <c r="AO1118" s="354"/>
      <c r="AP1118" s="354"/>
      <c r="AQ1118" s="354"/>
      <c r="AR1118" s="354"/>
      <c r="AS1118" s="354"/>
      <c r="AT1118" s="354"/>
      <c r="AU1118" s="354"/>
      <c r="AV1118" s="354"/>
      <c r="AW1118" s="354"/>
    </row>
    <row r="1119" spans="1:49">
      <c r="A1119" s="354"/>
      <c r="B1119" s="354"/>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Y1119" s="354"/>
      <c r="Z1119" s="354"/>
      <c r="AA1119" s="354"/>
      <c r="AB1119" s="354"/>
      <c r="AC1119" s="354"/>
      <c r="AD1119" s="354"/>
      <c r="AE1119" s="354"/>
      <c r="AF1119" s="354"/>
      <c r="AG1119" s="354"/>
      <c r="AH1119" s="354"/>
      <c r="AI1119" s="354"/>
      <c r="AJ1119" s="354"/>
      <c r="AK1119" s="354"/>
      <c r="AL1119" s="354"/>
      <c r="AM1119" s="354"/>
      <c r="AN1119" s="354"/>
      <c r="AO1119" s="354"/>
      <c r="AP1119" s="354"/>
      <c r="AQ1119" s="354"/>
      <c r="AR1119" s="354"/>
      <c r="AS1119" s="354"/>
      <c r="AT1119" s="354"/>
      <c r="AU1119" s="354"/>
      <c r="AV1119" s="354"/>
      <c r="AW1119" s="354"/>
    </row>
    <row r="1120" spans="1:49">
      <c r="A1120" s="354"/>
      <c r="B1120" s="354"/>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Y1120" s="354"/>
      <c r="Z1120" s="354"/>
      <c r="AA1120" s="354"/>
      <c r="AB1120" s="354"/>
      <c r="AC1120" s="354"/>
      <c r="AD1120" s="354"/>
      <c r="AE1120" s="354"/>
      <c r="AF1120" s="354"/>
      <c r="AG1120" s="354"/>
      <c r="AH1120" s="354"/>
      <c r="AI1120" s="354"/>
      <c r="AJ1120" s="354"/>
      <c r="AK1120" s="354"/>
      <c r="AL1120" s="354"/>
      <c r="AM1120" s="354"/>
      <c r="AN1120" s="354"/>
      <c r="AO1120" s="354"/>
      <c r="AP1120" s="354"/>
      <c r="AQ1120" s="354"/>
      <c r="AR1120" s="354"/>
      <c r="AS1120" s="354"/>
      <c r="AT1120" s="354"/>
      <c r="AU1120" s="354"/>
      <c r="AV1120" s="354"/>
      <c r="AW1120" s="354"/>
    </row>
    <row r="1121" spans="1:49">
      <c r="A1121" s="354"/>
      <c r="B1121" s="354"/>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Y1121" s="354"/>
      <c r="Z1121" s="354"/>
      <c r="AA1121" s="354"/>
      <c r="AB1121" s="354"/>
      <c r="AC1121" s="354"/>
      <c r="AD1121" s="354"/>
      <c r="AE1121" s="354"/>
      <c r="AF1121" s="354"/>
      <c r="AG1121" s="354"/>
      <c r="AH1121" s="354"/>
      <c r="AI1121" s="354"/>
      <c r="AJ1121" s="354"/>
      <c r="AK1121" s="354"/>
      <c r="AL1121" s="354"/>
      <c r="AM1121" s="354"/>
      <c r="AN1121" s="354"/>
      <c r="AO1121" s="354"/>
      <c r="AP1121" s="354"/>
      <c r="AQ1121" s="354"/>
      <c r="AR1121" s="354"/>
      <c r="AS1121" s="354"/>
      <c r="AT1121" s="354"/>
      <c r="AU1121" s="354"/>
      <c r="AV1121" s="354"/>
      <c r="AW1121" s="354"/>
    </row>
    <row r="1122" spans="1:49">
      <c r="A1122" s="354"/>
      <c r="B1122" s="354"/>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Y1122" s="354"/>
      <c r="Z1122" s="354"/>
      <c r="AA1122" s="354"/>
      <c r="AB1122" s="354"/>
      <c r="AC1122" s="354"/>
      <c r="AD1122" s="354"/>
      <c r="AE1122" s="354"/>
      <c r="AF1122" s="354"/>
      <c r="AG1122" s="354"/>
      <c r="AH1122" s="354"/>
      <c r="AI1122" s="354"/>
      <c r="AJ1122" s="354"/>
      <c r="AK1122" s="354"/>
      <c r="AL1122" s="354"/>
      <c r="AM1122" s="354"/>
      <c r="AN1122" s="354"/>
      <c r="AO1122" s="354"/>
      <c r="AP1122" s="354"/>
      <c r="AQ1122" s="354"/>
      <c r="AR1122" s="354"/>
      <c r="AS1122" s="354"/>
      <c r="AT1122" s="354"/>
      <c r="AU1122" s="354"/>
      <c r="AV1122" s="354"/>
      <c r="AW1122" s="354"/>
    </row>
    <row r="1123" spans="1:49">
      <c r="A1123" s="354"/>
      <c r="B1123" s="354"/>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Y1123" s="354"/>
      <c r="Z1123" s="354"/>
      <c r="AA1123" s="354"/>
      <c r="AB1123" s="354"/>
      <c r="AC1123" s="354"/>
      <c r="AD1123" s="354"/>
      <c r="AE1123" s="354"/>
      <c r="AF1123" s="354"/>
      <c r="AG1123" s="354"/>
      <c r="AH1123" s="354"/>
      <c r="AI1123" s="354"/>
      <c r="AJ1123" s="354"/>
      <c r="AK1123" s="354"/>
      <c r="AL1123" s="354"/>
      <c r="AM1123" s="354"/>
      <c r="AN1123" s="354"/>
      <c r="AO1123" s="354"/>
      <c r="AP1123" s="354"/>
      <c r="AQ1123" s="354"/>
      <c r="AR1123" s="354"/>
      <c r="AS1123" s="354"/>
      <c r="AT1123" s="354"/>
      <c r="AU1123" s="354"/>
      <c r="AV1123" s="354"/>
      <c r="AW1123" s="354"/>
    </row>
    <row r="1124" spans="1:49">
      <c r="A1124" s="354"/>
      <c r="B1124" s="354"/>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Y1124" s="354"/>
      <c r="Z1124" s="354"/>
      <c r="AA1124" s="354"/>
      <c r="AB1124" s="354"/>
      <c r="AC1124" s="354"/>
      <c r="AD1124" s="354"/>
      <c r="AE1124" s="354"/>
      <c r="AF1124" s="354"/>
      <c r="AG1124" s="354"/>
      <c r="AH1124" s="354"/>
      <c r="AI1124" s="354"/>
      <c r="AJ1124" s="354"/>
      <c r="AK1124" s="354"/>
      <c r="AL1124" s="354"/>
      <c r="AM1124" s="354"/>
      <c r="AN1124" s="354"/>
      <c r="AO1124" s="354"/>
      <c r="AP1124" s="354"/>
      <c r="AQ1124" s="354"/>
      <c r="AR1124" s="354"/>
      <c r="AS1124" s="354"/>
      <c r="AT1124" s="354"/>
      <c r="AU1124" s="354"/>
      <c r="AV1124" s="354"/>
      <c r="AW1124" s="354"/>
    </row>
    <row r="1125" spans="1:49">
      <c r="A1125" s="354"/>
      <c r="B1125" s="354"/>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Y1125" s="354"/>
      <c r="Z1125" s="354"/>
      <c r="AA1125" s="354"/>
      <c r="AB1125" s="354"/>
      <c r="AC1125" s="354"/>
      <c r="AD1125" s="354"/>
      <c r="AE1125" s="354"/>
      <c r="AF1125" s="354"/>
      <c r="AG1125" s="354"/>
      <c r="AH1125" s="354"/>
      <c r="AI1125" s="354"/>
      <c r="AJ1125" s="354"/>
      <c r="AK1125" s="354"/>
      <c r="AL1125" s="354"/>
      <c r="AM1125" s="354"/>
      <c r="AN1125" s="354"/>
      <c r="AO1125" s="354"/>
      <c r="AP1125" s="354"/>
      <c r="AQ1125" s="354"/>
      <c r="AR1125" s="354"/>
      <c r="AS1125" s="354"/>
      <c r="AT1125" s="354"/>
      <c r="AU1125" s="354"/>
      <c r="AV1125" s="354"/>
      <c r="AW1125" s="354"/>
    </row>
    <row r="1126" spans="1:49">
      <c r="A1126" s="354"/>
      <c r="B1126" s="354"/>
      <c r="C1126" s="354"/>
      <c r="D1126" s="354"/>
      <c r="E1126" s="354"/>
      <c r="F1126" s="354"/>
      <c r="G1126" s="354"/>
      <c r="H1126" s="354"/>
      <c r="I1126" s="354"/>
      <c r="J1126" s="354"/>
      <c r="K1126" s="354"/>
      <c r="L1126" s="354"/>
      <c r="M1126" s="354"/>
      <c r="N1126" s="354"/>
      <c r="O1126" s="354"/>
      <c r="P1126" s="354"/>
      <c r="Q1126" s="354"/>
      <c r="R1126" s="354"/>
      <c r="S1126" s="354"/>
      <c r="T1126" s="354"/>
      <c r="U1126" s="354"/>
      <c r="V1126" s="354"/>
      <c r="W1126" s="354"/>
      <c r="X1126" s="354"/>
      <c r="Y1126" s="354"/>
      <c r="Z1126" s="354"/>
      <c r="AA1126" s="354"/>
      <c r="AB1126" s="354"/>
      <c r="AC1126" s="354"/>
      <c r="AD1126" s="354"/>
      <c r="AE1126" s="354"/>
      <c r="AF1126" s="354"/>
      <c r="AG1126" s="354"/>
      <c r="AH1126" s="354"/>
      <c r="AI1126" s="354"/>
      <c r="AJ1126" s="354"/>
      <c r="AK1126" s="354"/>
      <c r="AL1126" s="354"/>
      <c r="AM1126" s="354"/>
      <c r="AN1126" s="354"/>
      <c r="AO1126" s="354"/>
      <c r="AP1126" s="354"/>
      <c r="AQ1126" s="354"/>
      <c r="AR1126" s="354"/>
      <c r="AS1126" s="354"/>
      <c r="AT1126" s="354"/>
      <c r="AU1126" s="354"/>
      <c r="AV1126" s="354"/>
      <c r="AW1126" s="354"/>
    </row>
    <row r="1127" spans="1:49">
      <c r="A1127" s="354"/>
      <c r="B1127" s="354"/>
      <c r="C1127" s="354"/>
      <c r="D1127" s="354"/>
      <c r="E1127" s="354"/>
      <c r="F1127" s="354"/>
      <c r="G1127" s="354"/>
      <c r="H1127" s="354"/>
      <c r="I1127" s="354"/>
      <c r="J1127" s="354"/>
      <c r="K1127" s="354"/>
      <c r="L1127" s="354"/>
      <c r="M1127" s="354"/>
      <c r="N1127" s="354"/>
      <c r="O1127" s="354"/>
      <c r="P1127" s="354"/>
      <c r="Q1127" s="354"/>
      <c r="R1127" s="354"/>
      <c r="S1127" s="354"/>
      <c r="T1127" s="354"/>
      <c r="U1127" s="354"/>
      <c r="V1127" s="354"/>
      <c r="W1127" s="354"/>
      <c r="X1127" s="354"/>
      <c r="Y1127" s="354"/>
      <c r="Z1127" s="354"/>
      <c r="AA1127" s="354"/>
      <c r="AB1127" s="354"/>
      <c r="AC1127" s="354"/>
      <c r="AD1127" s="354"/>
      <c r="AE1127" s="354"/>
      <c r="AF1127" s="354"/>
      <c r="AG1127" s="354"/>
      <c r="AH1127" s="354"/>
      <c r="AI1127" s="354"/>
      <c r="AJ1127" s="354"/>
      <c r="AK1127" s="354"/>
      <c r="AL1127" s="354"/>
      <c r="AM1127" s="354"/>
      <c r="AN1127" s="354"/>
      <c r="AO1127" s="354"/>
      <c r="AP1127" s="354"/>
      <c r="AQ1127" s="354"/>
      <c r="AR1127" s="354"/>
      <c r="AS1127" s="354"/>
      <c r="AT1127" s="354"/>
      <c r="AU1127" s="354"/>
      <c r="AV1127" s="354"/>
      <c r="AW1127" s="354"/>
    </row>
    <row r="1128" spans="1:49">
      <c r="A1128" s="354"/>
      <c r="B1128" s="354"/>
      <c r="C1128" s="354"/>
      <c r="D1128" s="354"/>
      <c r="E1128" s="354"/>
      <c r="F1128" s="354"/>
      <c r="G1128" s="354"/>
      <c r="H1128" s="354"/>
      <c r="I1128" s="354"/>
      <c r="J1128" s="354"/>
      <c r="K1128" s="354"/>
      <c r="L1128" s="354"/>
      <c r="M1128" s="354"/>
      <c r="N1128" s="354"/>
      <c r="O1128" s="354"/>
      <c r="P1128" s="354"/>
      <c r="Q1128" s="354"/>
      <c r="R1128" s="354"/>
      <c r="S1128" s="354"/>
      <c r="T1128" s="354"/>
      <c r="U1128" s="354"/>
      <c r="V1128" s="354"/>
      <c r="W1128" s="354"/>
      <c r="X1128" s="354"/>
      <c r="Y1128" s="354"/>
      <c r="Z1128" s="354"/>
      <c r="AA1128" s="354"/>
      <c r="AB1128" s="354"/>
      <c r="AC1128" s="354"/>
      <c r="AD1128" s="354"/>
      <c r="AE1128" s="354"/>
      <c r="AF1128" s="354"/>
      <c r="AG1128" s="354"/>
      <c r="AH1128" s="354"/>
      <c r="AI1128" s="354"/>
      <c r="AJ1128" s="354"/>
      <c r="AK1128" s="354"/>
      <c r="AL1128" s="354"/>
      <c r="AM1128" s="354"/>
      <c r="AN1128" s="354"/>
      <c r="AO1128" s="354"/>
      <c r="AP1128" s="354"/>
      <c r="AQ1128" s="354"/>
      <c r="AR1128" s="354"/>
      <c r="AS1128" s="354"/>
      <c r="AT1128" s="354"/>
      <c r="AU1128" s="354"/>
      <c r="AV1128" s="354"/>
      <c r="AW1128" s="354"/>
    </row>
    <row r="1129" spans="1:49">
      <c r="A1129" s="354"/>
      <c r="B1129" s="354"/>
      <c r="C1129" s="354"/>
      <c r="D1129" s="354"/>
      <c r="E1129" s="354"/>
      <c r="F1129" s="354"/>
      <c r="G1129" s="354"/>
      <c r="H1129" s="354"/>
      <c r="I1129" s="354"/>
      <c r="J1129" s="354"/>
      <c r="K1129" s="354"/>
      <c r="L1129" s="354"/>
      <c r="M1129" s="354"/>
      <c r="N1129" s="354"/>
      <c r="O1129" s="354"/>
      <c r="P1129" s="354"/>
      <c r="Q1129" s="354"/>
      <c r="R1129" s="354"/>
      <c r="S1129" s="354"/>
      <c r="T1129" s="354"/>
      <c r="U1129" s="354"/>
      <c r="V1129" s="354"/>
      <c r="W1129" s="354"/>
      <c r="X1129" s="354"/>
      <c r="Y1129" s="354"/>
      <c r="Z1129" s="354"/>
      <c r="AA1129" s="354"/>
      <c r="AB1129" s="354"/>
      <c r="AC1129" s="354"/>
      <c r="AD1129" s="354"/>
      <c r="AE1129" s="354"/>
      <c r="AF1129" s="354"/>
      <c r="AG1129" s="354"/>
      <c r="AH1129" s="354"/>
      <c r="AI1129" s="354"/>
      <c r="AJ1129" s="354"/>
      <c r="AK1129" s="354"/>
      <c r="AL1129" s="354"/>
      <c r="AM1129" s="354"/>
      <c r="AN1129" s="354"/>
      <c r="AO1129" s="354"/>
      <c r="AP1129" s="354"/>
      <c r="AQ1129" s="354"/>
      <c r="AR1129" s="354"/>
      <c r="AS1129" s="354"/>
      <c r="AT1129" s="354"/>
      <c r="AU1129" s="354"/>
      <c r="AV1129" s="354"/>
      <c r="AW1129" s="354"/>
    </row>
    <row r="1130" spans="1:49">
      <c r="A1130" s="354"/>
      <c r="B1130" s="354"/>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Y1130" s="354"/>
      <c r="Z1130" s="354"/>
      <c r="AA1130" s="354"/>
      <c r="AB1130" s="354"/>
      <c r="AC1130" s="354"/>
      <c r="AD1130" s="354"/>
      <c r="AE1130" s="354"/>
      <c r="AF1130" s="354"/>
      <c r="AG1130" s="354"/>
      <c r="AH1130" s="354"/>
      <c r="AI1130" s="354"/>
      <c r="AJ1130" s="354"/>
      <c r="AK1130" s="354"/>
      <c r="AL1130" s="354"/>
      <c r="AM1130" s="354"/>
      <c r="AN1130" s="354"/>
      <c r="AO1130" s="354"/>
      <c r="AP1130" s="354"/>
      <c r="AQ1130" s="354"/>
      <c r="AR1130" s="354"/>
      <c r="AS1130" s="354"/>
      <c r="AT1130" s="354"/>
      <c r="AU1130" s="354"/>
      <c r="AV1130" s="354"/>
      <c r="AW1130" s="354"/>
    </row>
    <row r="1131" spans="1:49">
      <c r="A1131" s="354"/>
      <c r="B1131" s="354"/>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Y1131" s="354"/>
      <c r="Z1131" s="354"/>
      <c r="AA1131" s="354"/>
      <c r="AB1131" s="354"/>
      <c r="AC1131" s="354"/>
      <c r="AD1131" s="354"/>
      <c r="AE1131" s="354"/>
      <c r="AF1131" s="354"/>
      <c r="AG1131" s="354"/>
      <c r="AH1131" s="354"/>
      <c r="AI1131" s="354"/>
      <c r="AJ1131" s="354"/>
      <c r="AK1131" s="354"/>
      <c r="AL1131" s="354"/>
      <c r="AM1131" s="354"/>
      <c r="AN1131" s="354"/>
      <c r="AO1131" s="354"/>
      <c r="AP1131" s="354"/>
      <c r="AQ1131" s="354"/>
      <c r="AR1131" s="354"/>
      <c r="AS1131" s="354"/>
      <c r="AT1131" s="354"/>
      <c r="AU1131" s="354"/>
      <c r="AV1131" s="354"/>
      <c r="AW1131" s="354"/>
    </row>
    <row r="1132" spans="1:49">
      <c r="A1132" s="354"/>
      <c r="B1132" s="354"/>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Y1132" s="354"/>
      <c r="Z1132" s="354"/>
      <c r="AA1132" s="354"/>
      <c r="AB1132" s="354"/>
      <c r="AC1132" s="354"/>
      <c r="AD1132" s="354"/>
      <c r="AE1132" s="354"/>
      <c r="AF1132" s="354"/>
      <c r="AG1132" s="354"/>
      <c r="AH1132" s="354"/>
      <c r="AI1132" s="354"/>
      <c r="AJ1132" s="354"/>
      <c r="AK1132" s="354"/>
      <c r="AL1132" s="354"/>
      <c r="AM1132" s="354"/>
      <c r="AN1132" s="354"/>
      <c r="AO1132" s="354"/>
      <c r="AP1132" s="354"/>
      <c r="AQ1132" s="354"/>
      <c r="AR1132" s="354"/>
      <c r="AS1132" s="354"/>
      <c r="AT1132" s="354"/>
      <c r="AU1132" s="354"/>
      <c r="AV1132" s="354"/>
      <c r="AW1132" s="354"/>
    </row>
    <row r="1133" spans="1:49">
      <c r="A1133" s="354"/>
      <c r="B1133" s="354"/>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Y1133" s="354"/>
      <c r="Z1133" s="354"/>
      <c r="AA1133" s="354"/>
      <c r="AB1133" s="354"/>
      <c r="AC1133" s="354"/>
      <c r="AD1133" s="354"/>
      <c r="AE1133" s="354"/>
      <c r="AF1133" s="354"/>
      <c r="AG1133" s="354"/>
      <c r="AH1133" s="354"/>
      <c r="AI1133" s="354"/>
      <c r="AJ1133" s="354"/>
      <c r="AK1133" s="354"/>
      <c r="AL1133" s="354"/>
      <c r="AM1133" s="354"/>
      <c r="AN1133" s="354"/>
      <c r="AO1133" s="354"/>
      <c r="AP1133" s="354"/>
      <c r="AQ1133" s="354"/>
      <c r="AR1133" s="354"/>
      <c r="AS1133" s="354"/>
      <c r="AT1133" s="354"/>
      <c r="AU1133" s="354"/>
      <c r="AV1133" s="354"/>
      <c r="AW1133" s="354"/>
    </row>
    <row r="1134" spans="1:49">
      <c r="A1134" s="354"/>
      <c r="B1134" s="354"/>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Y1134" s="354"/>
      <c r="Z1134" s="354"/>
      <c r="AA1134" s="354"/>
      <c r="AB1134" s="354"/>
      <c r="AC1134" s="354"/>
      <c r="AD1134" s="354"/>
      <c r="AE1134" s="354"/>
      <c r="AF1134" s="354"/>
      <c r="AG1134" s="354"/>
      <c r="AH1134" s="354"/>
      <c r="AI1134" s="354"/>
      <c r="AJ1134" s="354"/>
      <c r="AK1134" s="354"/>
      <c r="AL1134" s="354"/>
      <c r="AM1134" s="354"/>
      <c r="AN1134" s="354"/>
      <c r="AO1134" s="354"/>
      <c r="AP1134" s="354"/>
      <c r="AQ1134" s="354"/>
      <c r="AR1134" s="354"/>
      <c r="AS1134" s="354"/>
      <c r="AT1134" s="354"/>
      <c r="AU1134" s="354"/>
      <c r="AV1134" s="354"/>
      <c r="AW1134" s="354"/>
    </row>
    <row r="1135" spans="1:49">
      <c r="A1135" s="354"/>
      <c r="B1135" s="354"/>
      <c r="C1135" s="354"/>
      <c r="D1135" s="354"/>
      <c r="E1135" s="354"/>
      <c r="F1135" s="354"/>
      <c r="G1135" s="354"/>
      <c r="H1135" s="354"/>
      <c r="I1135" s="354"/>
      <c r="J1135" s="354"/>
      <c r="K1135" s="354"/>
      <c r="L1135" s="354"/>
      <c r="M1135" s="354"/>
      <c r="N1135" s="354"/>
      <c r="O1135" s="354"/>
      <c r="P1135" s="354"/>
      <c r="Q1135" s="354"/>
      <c r="R1135" s="354"/>
      <c r="S1135" s="354"/>
      <c r="T1135" s="354"/>
      <c r="U1135" s="354"/>
      <c r="V1135" s="354"/>
      <c r="W1135" s="354"/>
      <c r="X1135" s="354"/>
      <c r="Y1135" s="354"/>
      <c r="Z1135" s="354"/>
      <c r="AA1135" s="354"/>
      <c r="AB1135" s="354"/>
      <c r="AC1135" s="354"/>
      <c r="AD1135" s="354"/>
      <c r="AE1135" s="354"/>
      <c r="AF1135" s="354"/>
      <c r="AG1135" s="354"/>
      <c r="AH1135" s="354"/>
      <c r="AI1135" s="354"/>
      <c r="AJ1135" s="354"/>
      <c r="AK1135" s="354"/>
      <c r="AL1135" s="354"/>
      <c r="AM1135" s="354"/>
      <c r="AN1135" s="354"/>
      <c r="AO1135" s="354"/>
      <c r="AP1135" s="354"/>
      <c r="AQ1135" s="354"/>
      <c r="AR1135" s="354"/>
      <c r="AS1135" s="354"/>
      <c r="AT1135" s="354"/>
      <c r="AU1135" s="354"/>
      <c r="AV1135" s="354"/>
      <c r="AW1135" s="354"/>
    </row>
    <row r="1136" spans="1:49">
      <c r="A1136" s="354"/>
      <c r="B1136" s="354"/>
      <c r="C1136" s="354"/>
      <c r="D1136" s="354"/>
      <c r="E1136" s="354"/>
      <c r="F1136" s="354"/>
      <c r="G1136" s="354"/>
      <c r="H1136" s="354"/>
      <c r="I1136" s="354"/>
      <c r="J1136" s="354"/>
      <c r="K1136" s="354"/>
      <c r="L1136" s="354"/>
      <c r="M1136" s="354"/>
      <c r="N1136" s="354"/>
      <c r="O1136" s="354"/>
      <c r="P1136" s="354"/>
      <c r="Q1136" s="354"/>
      <c r="R1136" s="354"/>
      <c r="S1136" s="354"/>
      <c r="T1136" s="354"/>
      <c r="U1136" s="354"/>
      <c r="V1136" s="354"/>
      <c r="W1136" s="354"/>
      <c r="X1136" s="354"/>
      <c r="Y1136" s="354"/>
      <c r="Z1136" s="354"/>
      <c r="AA1136" s="354"/>
      <c r="AB1136" s="354"/>
      <c r="AC1136" s="354"/>
      <c r="AD1136" s="354"/>
      <c r="AE1136" s="354"/>
      <c r="AF1136" s="354"/>
      <c r="AG1136" s="354"/>
      <c r="AH1136" s="354"/>
      <c r="AI1136" s="354"/>
      <c r="AJ1136" s="354"/>
      <c r="AK1136" s="354"/>
      <c r="AL1136" s="354"/>
      <c r="AM1136" s="354"/>
      <c r="AN1136" s="354"/>
      <c r="AO1136" s="354"/>
      <c r="AP1136" s="354"/>
      <c r="AQ1136" s="354"/>
      <c r="AR1136" s="354"/>
      <c r="AS1136" s="354"/>
      <c r="AT1136" s="354"/>
      <c r="AU1136" s="354"/>
      <c r="AV1136" s="354"/>
      <c r="AW1136" s="354"/>
    </row>
    <row r="1137" spans="1:49">
      <c r="A1137" s="354"/>
      <c r="B1137" s="354"/>
      <c r="C1137" s="354"/>
      <c r="D1137" s="354"/>
      <c r="E1137" s="354"/>
      <c r="F1137" s="354"/>
      <c r="G1137" s="354"/>
      <c r="H1137" s="354"/>
      <c r="I1137" s="354"/>
      <c r="J1137" s="354"/>
      <c r="K1137" s="354"/>
      <c r="L1137" s="354"/>
      <c r="M1137" s="354"/>
      <c r="N1137" s="354"/>
      <c r="O1137" s="354"/>
      <c r="P1137" s="354"/>
      <c r="Q1137" s="354"/>
      <c r="R1137" s="354"/>
      <c r="S1137" s="354"/>
      <c r="T1137" s="354"/>
      <c r="U1137" s="354"/>
      <c r="V1137" s="354"/>
      <c r="W1137" s="354"/>
      <c r="X1137" s="354"/>
      <c r="Y1137" s="354"/>
      <c r="Z1137" s="354"/>
      <c r="AA1137" s="354"/>
      <c r="AB1137" s="354"/>
      <c r="AC1137" s="354"/>
      <c r="AD1137" s="354"/>
      <c r="AE1137" s="354"/>
      <c r="AF1137" s="354"/>
      <c r="AG1137" s="354"/>
      <c r="AH1137" s="354"/>
      <c r="AI1137" s="354"/>
      <c r="AJ1137" s="354"/>
      <c r="AK1137" s="354"/>
      <c r="AL1137" s="354"/>
      <c r="AM1137" s="354"/>
      <c r="AN1137" s="354"/>
      <c r="AO1137" s="354"/>
      <c r="AP1137" s="354"/>
      <c r="AQ1137" s="354"/>
      <c r="AR1137" s="354"/>
      <c r="AS1137" s="354"/>
      <c r="AT1137" s="354"/>
      <c r="AU1137" s="354"/>
      <c r="AV1137" s="354"/>
      <c r="AW1137" s="354"/>
    </row>
    <row r="1138" spans="1:49">
      <c r="A1138" s="354"/>
      <c r="B1138" s="354"/>
      <c r="C1138" s="354"/>
      <c r="D1138" s="354"/>
      <c r="E1138" s="354"/>
      <c r="F1138" s="354"/>
      <c r="G1138" s="354"/>
      <c r="H1138" s="354"/>
      <c r="I1138" s="354"/>
      <c r="J1138" s="354"/>
      <c r="K1138" s="354"/>
      <c r="L1138" s="354"/>
      <c r="M1138" s="354"/>
      <c r="N1138" s="354"/>
      <c r="O1138" s="354"/>
      <c r="P1138" s="354"/>
      <c r="Q1138" s="354"/>
      <c r="R1138" s="354"/>
      <c r="S1138" s="354"/>
      <c r="T1138" s="354"/>
      <c r="U1138" s="354"/>
      <c r="V1138" s="354"/>
      <c r="W1138" s="354"/>
      <c r="X1138" s="354"/>
      <c r="Y1138" s="354"/>
      <c r="Z1138" s="354"/>
      <c r="AA1138" s="354"/>
      <c r="AB1138" s="354"/>
      <c r="AC1138" s="354"/>
      <c r="AD1138" s="354"/>
      <c r="AE1138" s="354"/>
      <c r="AF1138" s="354"/>
      <c r="AG1138" s="354"/>
      <c r="AH1138" s="354"/>
      <c r="AI1138" s="354"/>
      <c r="AJ1138" s="354"/>
      <c r="AK1138" s="354"/>
      <c r="AL1138" s="354"/>
      <c r="AM1138" s="354"/>
      <c r="AN1138" s="354"/>
      <c r="AO1138" s="354"/>
      <c r="AP1138" s="354"/>
      <c r="AQ1138" s="354"/>
      <c r="AR1138" s="354"/>
      <c r="AS1138" s="354"/>
      <c r="AT1138" s="354"/>
      <c r="AU1138" s="354"/>
      <c r="AV1138" s="354"/>
      <c r="AW1138" s="354"/>
    </row>
    <row r="1139" spans="1:49">
      <c r="A1139" s="354"/>
      <c r="B1139" s="354"/>
      <c r="C1139" s="354"/>
      <c r="D1139" s="354"/>
      <c r="E1139" s="354"/>
      <c r="F1139" s="354"/>
      <c r="G1139" s="354"/>
      <c r="H1139" s="354"/>
      <c r="I1139" s="354"/>
      <c r="J1139" s="354"/>
      <c r="K1139" s="354"/>
      <c r="L1139" s="354"/>
      <c r="M1139" s="354"/>
      <c r="N1139" s="354"/>
      <c r="O1139" s="354"/>
      <c r="P1139" s="354"/>
      <c r="Q1139" s="354"/>
      <c r="R1139" s="354"/>
      <c r="S1139" s="354"/>
      <c r="T1139" s="354"/>
      <c r="U1139" s="354"/>
      <c r="V1139" s="354"/>
      <c r="W1139" s="354"/>
      <c r="X1139" s="354"/>
      <c r="Y1139" s="354"/>
      <c r="Z1139" s="354"/>
      <c r="AA1139" s="354"/>
      <c r="AB1139" s="354"/>
      <c r="AC1139" s="354"/>
      <c r="AD1139" s="354"/>
      <c r="AE1139" s="354"/>
      <c r="AF1139" s="354"/>
      <c r="AG1139" s="354"/>
      <c r="AH1139" s="354"/>
      <c r="AI1139" s="354"/>
      <c r="AJ1139" s="354"/>
      <c r="AK1139" s="354"/>
      <c r="AL1139" s="354"/>
      <c r="AM1139" s="354"/>
      <c r="AN1139" s="354"/>
      <c r="AO1139" s="354"/>
      <c r="AP1139" s="354"/>
      <c r="AQ1139" s="354"/>
      <c r="AR1139" s="354"/>
      <c r="AS1139" s="354"/>
      <c r="AT1139" s="354"/>
      <c r="AU1139" s="354"/>
      <c r="AV1139" s="354"/>
      <c r="AW1139" s="354"/>
    </row>
    <row r="1140" spans="1:49">
      <c r="A1140" s="354"/>
      <c r="B1140" s="354"/>
      <c r="C1140" s="354"/>
      <c r="D1140" s="354"/>
      <c r="E1140" s="354"/>
      <c r="F1140" s="354"/>
      <c r="G1140" s="354"/>
      <c r="H1140" s="354"/>
      <c r="I1140" s="354"/>
      <c r="J1140" s="354"/>
      <c r="K1140" s="354"/>
      <c r="L1140" s="354"/>
      <c r="M1140" s="354"/>
      <c r="N1140" s="354"/>
      <c r="O1140" s="354"/>
      <c r="P1140" s="354"/>
      <c r="Q1140" s="354"/>
      <c r="R1140" s="354"/>
      <c r="S1140" s="354"/>
      <c r="T1140" s="354"/>
      <c r="U1140" s="354"/>
      <c r="V1140" s="354"/>
      <c r="W1140" s="354"/>
      <c r="X1140" s="354"/>
      <c r="Y1140" s="354"/>
      <c r="Z1140" s="354"/>
      <c r="AA1140" s="354"/>
      <c r="AB1140" s="354"/>
      <c r="AC1140" s="354"/>
      <c r="AD1140" s="354"/>
      <c r="AE1140" s="354"/>
      <c r="AF1140" s="354"/>
      <c r="AG1140" s="354"/>
      <c r="AH1140" s="354"/>
      <c r="AI1140" s="354"/>
      <c r="AJ1140" s="354"/>
      <c r="AK1140" s="354"/>
      <c r="AL1140" s="354"/>
      <c r="AM1140" s="354"/>
      <c r="AN1140" s="354"/>
      <c r="AO1140" s="354"/>
      <c r="AP1140" s="354"/>
      <c r="AQ1140" s="354"/>
      <c r="AR1140" s="354"/>
      <c r="AS1140" s="354"/>
      <c r="AT1140" s="354"/>
      <c r="AU1140" s="354"/>
      <c r="AV1140" s="354"/>
      <c r="AW1140" s="354"/>
    </row>
    <row r="1141" spans="1:49">
      <c r="A1141" s="354"/>
      <c r="B1141" s="354"/>
      <c r="C1141" s="354"/>
      <c r="D1141" s="354"/>
      <c r="E1141" s="354"/>
      <c r="F1141" s="354"/>
      <c r="G1141" s="354"/>
      <c r="H1141" s="354"/>
      <c r="I1141" s="354"/>
      <c r="J1141" s="354"/>
      <c r="K1141" s="354"/>
      <c r="L1141" s="354"/>
      <c r="M1141" s="354"/>
      <c r="N1141" s="354"/>
      <c r="O1141" s="354"/>
      <c r="P1141" s="354"/>
      <c r="Q1141" s="354"/>
      <c r="R1141" s="354"/>
      <c r="S1141" s="354"/>
      <c r="T1141" s="354"/>
      <c r="U1141" s="354"/>
      <c r="V1141" s="354"/>
      <c r="W1141" s="354"/>
      <c r="X1141" s="354"/>
      <c r="Y1141" s="354"/>
      <c r="Z1141" s="354"/>
      <c r="AA1141" s="354"/>
      <c r="AB1141" s="354"/>
      <c r="AC1141" s="354"/>
      <c r="AD1141" s="354"/>
      <c r="AE1141" s="354"/>
      <c r="AF1141" s="354"/>
      <c r="AG1141" s="354"/>
      <c r="AH1141" s="354"/>
      <c r="AI1141" s="354"/>
      <c r="AJ1141" s="354"/>
      <c r="AK1141" s="354"/>
      <c r="AL1141" s="354"/>
      <c r="AM1141" s="354"/>
      <c r="AN1141" s="354"/>
      <c r="AO1141" s="354"/>
      <c r="AP1141" s="354"/>
      <c r="AQ1141" s="354"/>
      <c r="AR1141" s="354"/>
      <c r="AS1141" s="354"/>
      <c r="AT1141" s="354"/>
      <c r="AU1141" s="354"/>
      <c r="AV1141" s="354"/>
      <c r="AW1141" s="354"/>
    </row>
    <row r="1142" spans="1:49">
      <c r="A1142" s="354"/>
      <c r="B1142" s="354"/>
      <c r="C1142" s="354"/>
      <c r="D1142" s="354"/>
      <c r="E1142" s="354"/>
      <c r="F1142" s="354"/>
      <c r="G1142" s="354"/>
      <c r="H1142" s="354"/>
      <c r="I1142" s="354"/>
      <c r="J1142" s="354"/>
      <c r="K1142" s="354"/>
      <c r="L1142" s="354"/>
      <c r="M1142" s="354"/>
      <c r="N1142" s="354"/>
      <c r="O1142" s="354"/>
      <c r="P1142" s="354"/>
      <c r="Q1142" s="354"/>
      <c r="R1142" s="354"/>
      <c r="S1142" s="354"/>
      <c r="T1142" s="354"/>
      <c r="U1142" s="354"/>
      <c r="V1142" s="354"/>
      <c r="W1142" s="354"/>
      <c r="X1142" s="354"/>
      <c r="Y1142" s="354"/>
      <c r="Z1142" s="354"/>
      <c r="AA1142" s="354"/>
      <c r="AB1142" s="354"/>
      <c r="AC1142" s="354"/>
      <c r="AD1142" s="354"/>
      <c r="AE1142" s="354"/>
      <c r="AF1142" s="354"/>
      <c r="AG1142" s="354"/>
      <c r="AH1142" s="354"/>
      <c r="AI1142" s="354"/>
      <c r="AJ1142" s="354"/>
      <c r="AK1142" s="354"/>
      <c r="AL1142" s="354"/>
      <c r="AM1142" s="354"/>
      <c r="AN1142" s="354"/>
      <c r="AO1142" s="354"/>
      <c r="AP1142" s="354"/>
      <c r="AQ1142" s="354"/>
      <c r="AR1142" s="354"/>
      <c r="AS1142" s="354"/>
      <c r="AT1142" s="354"/>
      <c r="AU1142" s="354"/>
      <c r="AV1142" s="354"/>
      <c r="AW1142" s="354"/>
    </row>
    <row r="1143" spans="1:49">
      <c r="A1143" s="354"/>
      <c r="B1143" s="354"/>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Y1143" s="354"/>
      <c r="Z1143" s="354"/>
      <c r="AA1143" s="354"/>
      <c r="AB1143" s="354"/>
      <c r="AC1143" s="354"/>
      <c r="AD1143" s="354"/>
      <c r="AE1143" s="354"/>
      <c r="AF1143" s="354"/>
      <c r="AG1143" s="354"/>
      <c r="AH1143" s="354"/>
      <c r="AI1143" s="354"/>
      <c r="AJ1143" s="354"/>
      <c r="AK1143" s="354"/>
      <c r="AL1143" s="354"/>
      <c r="AM1143" s="354"/>
      <c r="AN1143" s="354"/>
      <c r="AO1143" s="354"/>
      <c r="AP1143" s="354"/>
      <c r="AQ1143" s="354"/>
      <c r="AR1143" s="354"/>
      <c r="AS1143" s="354"/>
      <c r="AT1143" s="354"/>
      <c r="AU1143" s="354"/>
      <c r="AV1143" s="354"/>
      <c r="AW1143" s="354"/>
    </row>
    <row r="1144" spans="1:49">
      <c r="A1144" s="354"/>
      <c r="B1144" s="354"/>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Y1144" s="354"/>
      <c r="Z1144" s="354"/>
      <c r="AA1144" s="354"/>
      <c r="AB1144" s="354"/>
      <c r="AC1144" s="354"/>
      <c r="AD1144" s="354"/>
      <c r="AE1144" s="354"/>
      <c r="AF1144" s="354"/>
      <c r="AG1144" s="354"/>
      <c r="AH1144" s="354"/>
      <c r="AI1144" s="354"/>
      <c r="AJ1144" s="354"/>
      <c r="AK1144" s="354"/>
      <c r="AL1144" s="354"/>
      <c r="AM1144" s="354"/>
      <c r="AN1144" s="354"/>
      <c r="AO1144" s="354"/>
      <c r="AP1144" s="354"/>
      <c r="AQ1144" s="354"/>
      <c r="AR1144" s="354"/>
      <c r="AS1144" s="354"/>
      <c r="AT1144" s="354"/>
      <c r="AU1144" s="354"/>
      <c r="AV1144" s="354"/>
      <c r="AW1144" s="354"/>
    </row>
    <row r="1145" spans="1:49">
      <c r="A1145" s="354"/>
      <c r="B1145" s="354"/>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Y1145" s="354"/>
      <c r="Z1145" s="354"/>
      <c r="AA1145" s="354"/>
      <c r="AB1145" s="354"/>
      <c r="AC1145" s="354"/>
      <c r="AD1145" s="354"/>
      <c r="AE1145" s="354"/>
      <c r="AF1145" s="354"/>
      <c r="AG1145" s="354"/>
      <c r="AH1145" s="354"/>
      <c r="AI1145" s="354"/>
      <c r="AJ1145" s="354"/>
      <c r="AK1145" s="354"/>
      <c r="AL1145" s="354"/>
      <c r="AM1145" s="354"/>
      <c r="AN1145" s="354"/>
      <c r="AO1145" s="354"/>
      <c r="AP1145" s="354"/>
      <c r="AQ1145" s="354"/>
      <c r="AR1145" s="354"/>
      <c r="AS1145" s="354"/>
      <c r="AT1145" s="354"/>
      <c r="AU1145" s="354"/>
      <c r="AV1145" s="354"/>
      <c r="AW1145" s="354"/>
    </row>
    <row r="1146" spans="1:49">
      <c r="A1146" s="354"/>
      <c r="B1146" s="354"/>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Y1146" s="354"/>
      <c r="Z1146" s="354"/>
      <c r="AA1146" s="354"/>
      <c r="AB1146" s="354"/>
      <c r="AC1146" s="354"/>
      <c r="AD1146" s="354"/>
      <c r="AE1146" s="354"/>
      <c r="AF1146" s="354"/>
      <c r="AG1146" s="354"/>
      <c r="AH1146" s="354"/>
      <c r="AI1146" s="354"/>
      <c r="AJ1146" s="354"/>
      <c r="AK1146" s="354"/>
      <c r="AL1146" s="354"/>
      <c r="AM1146" s="354"/>
      <c r="AN1146" s="354"/>
      <c r="AO1146" s="354"/>
      <c r="AP1146" s="354"/>
      <c r="AQ1146" s="354"/>
      <c r="AR1146" s="354"/>
      <c r="AS1146" s="354"/>
      <c r="AT1146" s="354"/>
      <c r="AU1146" s="354"/>
      <c r="AV1146" s="354"/>
      <c r="AW1146" s="354"/>
    </row>
    <row r="1147" spans="1:49">
      <c r="A1147" s="354"/>
      <c r="B1147" s="354"/>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Y1147" s="354"/>
      <c r="Z1147" s="354"/>
      <c r="AA1147" s="354"/>
      <c r="AB1147" s="354"/>
      <c r="AC1147" s="354"/>
      <c r="AD1147" s="354"/>
      <c r="AE1147" s="354"/>
      <c r="AF1147" s="354"/>
      <c r="AG1147" s="354"/>
      <c r="AH1147" s="354"/>
      <c r="AI1147" s="354"/>
      <c r="AJ1147" s="354"/>
      <c r="AK1147" s="354"/>
      <c r="AL1147" s="354"/>
      <c r="AM1147" s="354"/>
      <c r="AN1147" s="354"/>
      <c r="AO1147" s="354"/>
      <c r="AP1147" s="354"/>
      <c r="AQ1147" s="354"/>
      <c r="AR1147" s="354"/>
      <c r="AS1147" s="354"/>
      <c r="AT1147" s="354"/>
      <c r="AU1147" s="354"/>
      <c r="AV1147" s="354"/>
      <c r="AW1147" s="354"/>
    </row>
    <row r="1148" spans="1:49">
      <c r="A1148" s="354"/>
      <c r="B1148" s="354"/>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Y1148" s="354"/>
      <c r="Z1148" s="354"/>
      <c r="AA1148" s="354"/>
      <c r="AB1148" s="354"/>
      <c r="AC1148" s="354"/>
      <c r="AD1148" s="354"/>
      <c r="AE1148" s="354"/>
      <c r="AF1148" s="354"/>
      <c r="AG1148" s="354"/>
      <c r="AH1148" s="354"/>
      <c r="AI1148" s="354"/>
      <c r="AJ1148" s="354"/>
      <c r="AK1148" s="354"/>
      <c r="AL1148" s="354"/>
      <c r="AM1148" s="354"/>
      <c r="AN1148" s="354"/>
      <c r="AO1148" s="354"/>
      <c r="AP1148" s="354"/>
      <c r="AQ1148" s="354"/>
      <c r="AR1148" s="354"/>
      <c r="AS1148" s="354"/>
      <c r="AT1148" s="354"/>
      <c r="AU1148" s="354"/>
      <c r="AV1148" s="354"/>
      <c r="AW1148" s="354"/>
    </row>
    <row r="1149" spans="1:49">
      <c r="A1149" s="354"/>
      <c r="B1149" s="354"/>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Y1149" s="354"/>
      <c r="Z1149" s="354"/>
      <c r="AA1149" s="354"/>
      <c r="AB1149" s="354"/>
      <c r="AC1149" s="354"/>
      <c r="AD1149" s="354"/>
      <c r="AE1149" s="354"/>
      <c r="AF1149" s="354"/>
      <c r="AG1149" s="354"/>
      <c r="AH1149" s="354"/>
      <c r="AI1149" s="354"/>
      <c r="AJ1149" s="354"/>
      <c r="AK1149" s="354"/>
      <c r="AL1149" s="354"/>
      <c r="AM1149" s="354"/>
      <c r="AN1149" s="354"/>
      <c r="AO1149" s="354"/>
      <c r="AP1149" s="354"/>
      <c r="AQ1149" s="354"/>
      <c r="AR1149" s="354"/>
      <c r="AS1149" s="354"/>
      <c r="AT1149" s="354"/>
      <c r="AU1149" s="354"/>
      <c r="AV1149" s="354"/>
      <c r="AW1149" s="354"/>
    </row>
    <row r="1150" spans="1:49">
      <c r="A1150" s="354"/>
      <c r="B1150" s="354"/>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Y1150" s="354"/>
      <c r="Z1150" s="354"/>
      <c r="AA1150" s="354"/>
      <c r="AB1150" s="354"/>
      <c r="AC1150" s="354"/>
      <c r="AD1150" s="354"/>
      <c r="AE1150" s="354"/>
      <c r="AF1150" s="354"/>
      <c r="AG1150" s="354"/>
      <c r="AH1150" s="354"/>
      <c r="AI1150" s="354"/>
      <c r="AJ1150" s="354"/>
      <c r="AK1150" s="354"/>
      <c r="AL1150" s="354"/>
      <c r="AM1150" s="354"/>
      <c r="AN1150" s="354"/>
      <c r="AO1150" s="354"/>
      <c r="AP1150" s="354"/>
      <c r="AQ1150" s="354"/>
      <c r="AR1150" s="354"/>
      <c r="AS1150" s="354"/>
      <c r="AT1150" s="354"/>
      <c r="AU1150" s="354"/>
      <c r="AV1150" s="354"/>
      <c r="AW1150" s="354"/>
    </row>
    <row r="1151" spans="1:49">
      <c r="A1151" s="354"/>
      <c r="B1151" s="354"/>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Y1151" s="354"/>
      <c r="Z1151" s="354"/>
      <c r="AA1151" s="354"/>
      <c r="AB1151" s="354"/>
      <c r="AC1151" s="354"/>
      <c r="AD1151" s="354"/>
      <c r="AE1151" s="354"/>
      <c r="AF1151" s="354"/>
      <c r="AG1151" s="354"/>
      <c r="AH1151" s="354"/>
      <c r="AI1151" s="354"/>
      <c r="AJ1151" s="354"/>
      <c r="AK1151" s="354"/>
      <c r="AL1151" s="354"/>
      <c r="AM1151" s="354"/>
      <c r="AN1151" s="354"/>
      <c r="AO1151" s="354"/>
      <c r="AP1151" s="354"/>
      <c r="AQ1151" s="354"/>
      <c r="AR1151" s="354"/>
      <c r="AS1151" s="354"/>
      <c r="AT1151" s="354"/>
      <c r="AU1151" s="354"/>
      <c r="AV1151" s="354"/>
      <c r="AW1151" s="354"/>
    </row>
    <row r="1152" spans="1:49">
      <c r="A1152" s="354"/>
      <c r="B1152" s="354"/>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Y1152" s="354"/>
      <c r="Z1152" s="354"/>
      <c r="AA1152" s="354"/>
      <c r="AB1152" s="354"/>
      <c r="AC1152" s="354"/>
      <c r="AD1152" s="354"/>
      <c r="AE1152" s="354"/>
      <c r="AF1152" s="354"/>
      <c r="AG1152" s="354"/>
      <c r="AH1152" s="354"/>
      <c r="AI1152" s="354"/>
      <c r="AJ1152" s="354"/>
      <c r="AK1152" s="354"/>
      <c r="AL1152" s="354"/>
      <c r="AM1152" s="354"/>
      <c r="AN1152" s="354"/>
      <c r="AO1152" s="354"/>
      <c r="AP1152" s="354"/>
      <c r="AQ1152" s="354"/>
      <c r="AR1152" s="354"/>
      <c r="AS1152" s="354"/>
      <c r="AT1152" s="354"/>
      <c r="AU1152" s="354"/>
      <c r="AV1152" s="354"/>
      <c r="AW1152" s="354"/>
    </row>
    <row r="1153" spans="1:49">
      <c r="A1153" s="354"/>
      <c r="B1153" s="354"/>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Y1153" s="354"/>
      <c r="Z1153" s="354"/>
      <c r="AA1153" s="354"/>
      <c r="AB1153" s="354"/>
      <c r="AC1153" s="354"/>
      <c r="AD1153" s="354"/>
      <c r="AE1153" s="354"/>
      <c r="AF1153" s="354"/>
      <c r="AG1153" s="354"/>
      <c r="AH1153" s="354"/>
      <c r="AI1153" s="354"/>
      <c r="AJ1153" s="354"/>
      <c r="AK1153" s="354"/>
      <c r="AL1153" s="354"/>
      <c r="AM1153" s="354"/>
      <c r="AN1153" s="354"/>
      <c r="AO1153" s="354"/>
      <c r="AP1153" s="354"/>
      <c r="AQ1153" s="354"/>
      <c r="AR1153" s="354"/>
      <c r="AS1153" s="354"/>
      <c r="AT1153" s="354"/>
      <c r="AU1153" s="354"/>
      <c r="AV1153" s="354"/>
      <c r="AW1153" s="354"/>
    </row>
    <row r="1154" spans="1:49">
      <c r="A1154" s="354"/>
      <c r="B1154" s="354"/>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Y1154" s="354"/>
      <c r="Z1154" s="354"/>
      <c r="AA1154" s="354"/>
      <c r="AB1154" s="354"/>
      <c r="AC1154" s="354"/>
      <c r="AD1154" s="354"/>
      <c r="AE1154" s="354"/>
      <c r="AF1154" s="354"/>
      <c r="AG1154" s="354"/>
      <c r="AH1154" s="354"/>
      <c r="AI1154" s="354"/>
      <c r="AJ1154" s="354"/>
      <c r="AK1154" s="354"/>
      <c r="AL1154" s="354"/>
      <c r="AM1154" s="354"/>
      <c r="AN1154" s="354"/>
      <c r="AO1154" s="354"/>
      <c r="AP1154" s="354"/>
      <c r="AQ1154" s="354"/>
      <c r="AR1154" s="354"/>
      <c r="AS1154" s="354"/>
      <c r="AT1154" s="354"/>
      <c r="AU1154" s="354"/>
      <c r="AV1154" s="354"/>
      <c r="AW1154" s="354"/>
    </row>
    <row r="1155" spans="1:49">
      <c r="A1155" s="354"/>
      <c r="B1155" s="354"/>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Y1155" s="354"/>
      <c r="Z1155" s="354"/>
      <c r="AA1155" s="354"/>
      <c r="AB1155" s="354"/>
      <c r="AC1155" s="354"/>
      <c r="AD1155" s="354"/>
      <c r="AE1155" s="354"/>
      <c r="AF1155" s="354"/>
      <c r="AG1155" s="354"/>
      <c r="AH1155" s="354"/>
      <c r="AI1155" s="354"/>
      <c r="AJ1155" s="354"/>
      <c r="AK1155" s="354"/>
      <c r="AL1155" s="354"/>
      <c r="AM1155" s="354"/>
      <c r="AN1155" s="354"/>
      <c r="AO1155" s="354"/>
      <c r="AP1155" s="354"/>
      <c r="AQ1155" s="354"/>
      <c r="AR1155" s="354"/>
      <c r="AS1155" s="354"/>
      <c r="AT1155" s="354"/>
      <c r="AU1155" s="354"/>
      <c r="AV1155" s="354"/>
      <c r="AW1155" s="354"/>
    </row>
    <row r="1156" spans="1:49">
      <c r="A1156" s="354"/>
      <c r="B1156" s="354"/>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Y1156" s="354"/>
      <c r="Z1156" s="354"/>
      <c r="AA1156" s="354"/>
      <c r="AB1156" s="354"/>
      <c r="AC1156" s="354"/>
      <c r="AD1156" s="354"/>
      <c r="AE1156" s="354"/>
      <c r="AF1156" s="354"/>
      <c r="AG1156" s="354"/>
      <c r="AH1156" s="354"/>
      <c r="AI1156" s="354"/>
      <c r="AJ1156" s="354"/>
      <c r="AK1156" s="354"/>
      <c r="AL1156" s="354"/>
      <c r="AM1156" s="354"/>
      <c r="AN1156" s="354"/>
      <c r="AO1156" s="354"/>
      <c r="AP1156" s="354"/>
      <c r="AQ1156" s="354"/>
      <c r="AR1156" s="354"/>
      <c r="AS1156" s="354"/>
      <c r="AT1156" s="354"/>
      <c r="AU1156" s="354"/>
      <c r="AV1156" s="354"/>
      <c r="AW1156" s="354"/>
    </row>
    <row r="1157" spans="1:49">
      <c r="A1157" s="354"/>
      <c r="B1157" s="354"/>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Y1157" s="354"/>
      <c r="Z1157" s="354"/>
      <c r="AA1157" s="354"/>
      <c r="AB1157" s="354"/>
      <c r="AC1157" s="354"/>
      <c r="AD1157" s="354"/>
      <c r="AE1157" s="354"/>
      <c r="AF1157" s="354"/>
      <c r="AG1157" s="354"/>
      <c r="AH1157" s="354"/>
      <c r="AI1157" s="354"/>
      <c r="AJ1157" s="354"/>
      <c r="AK1157" s="354"/>
      <c r="AL1157" s="354"/>
      <c r="AM1157" s="354"/>
      <c r="AN1157" s="354"/>
      <c r="AO1157" s="354"/>
      <c r="AP1157" s="354"/>
      <c r="AQ1157" s="354"/>
      <c r="AR1157" s="354"/>
      <c r="AS1157" s="354"/>
      <c r="AT1157" s="354"/>
      <c r="AU1157" s="354"/>
      <c r="AV1157" s="354"/>
      <c r="AW1157" s="354"/>
    </row>
    <row r="1158" spans="1:49">
      <c r="A1158" s="354"/>
      <c r="B1158" s="354"/>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Y1158" s="354"/>
      <c r="Z1158" s="354"/>
      <c r="AA1158" s="354"/>
      <c r="AB1158" s="354"/>
      <c r="AC1158" s="354"/>
      <c r="AD1158" s="354"/>
      <c r="AE1158" s="354"/>
      <c r="AF1158" s="354"/>
      <c r="AG1158" s="354"/>
      <c r="AH1158" s="354"/>
      <c r="AI1158" s="354"/>
      <c r="AJ1158" s="354"/>
      <c r="AK1158" s="354"/>
      <c r="AL1158" s="354"/>
      <c r="AM1158" s="354"/>
      <c r="AN1158" s="354"/>
      <c r="AO1158" s="354"/>
      <c r="AP1158" s="354"/>
      <c r="AQ1158" s="354"/>
      <c r="AR1158" s="354"/>
      <c r="AS1158" s="354"/>
      <c r="AT1158" s="354"/>
      <c r="AU1158" s="354"/>
      <c r="AV1158" s="354"/>
      <c r="AW1158" s="354"/>
    </row>
    <row r="1159" spans="1:49">
      <c r="A1159" s="354"/>
      <c r="B1159" s="354"/>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Y1159" s="354"/>
      <c r="Z1159" s="354"/>
      <c r="AA1159" s="354"/>
      <c r="AB1159" s="354"/>
      <c r="AC1159" s="354"/>
      <c r="AD1159" s="354"/>
      <c r="AE1159" s="354"/>
      <c r="AF1159" s="354"/>
      <c r="AG1159" s="354"/>
      <c r="AH1159" s="354"/>
      <c r="AI1159" s="354"/>
      <c r="AJ1159" s="354"/>
      <c r="AK1159" s="354"/>
      <c r="AL1159" s="354"/>
      <c r="AM1159" s="354"/>
      <c r="AN1159" s="354"/>
      <c r="AO1159" s="354"/>
      <c r="AP1159" s="354"/>
      <c r="AQ1159" s="354"/>
      <c r="AR1159" s="354"/>
      <c r="AS1159" s="354"/>
      <c r="AT1159" s="354"/>
      <c r="AU1159" s="354"/>
      <c r="AV1159" s="354"/>
      <c r="AW1159" s="354"/>
    </row>
    <row r="1160" spans="1:49">
      <c r="A1160" s="354"/>
      <c r="B1160" s="354"/>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Y1160" s="354"/>
      <c r="Z1160" s="354"/>
      <c r="AA1160" s="354"/>
      <c r="AB1160" s="354"/>
      <c r="AC1160" s="354"/>
      <c r="AD1160" s="354"/>
      <c r="AE1160" s="354"/>
      <c r="AF1160" s="354"/>
      <c r="AG1160" s="354"/>
      <c r="AH1160" s="354"/>
      <c r="AI1160" s="354"/>
      <c r="AJ1160" s="354"/>
      <c r="AK1160" s="354"/>
      <c r="AL1160" s="354"/>
      <c r="AM1160" s="354"/>
      <c r="AN1160" s="354"/>
      <c r="AO1160" s="354"/>
      <c r="AP1160" s="354"/>
      <c r="AQ1160" s="354"/>
      <c r="AR1160" s="354"/>
      <c r="AS1160" s="354"/>
      <c r="AT1160" s="354"/>
      <c r="AU1160" s="354"/>
      <c r="AV1160" s="354"/>
      <c r="AW1160" s="354"/>
    </row>
    <row r="1161" spans="1:49">
      <c r="A1161" s="354"/>
      <c r="B1161" s="354"/>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Y1161" s="354"/>
      <c r="Z1161" s="354"/>
      <c r="AA1161" s="354"/>
      <c r="AB1161" s="354"/>
      <c r="AC1161" s="354"/>
      <c r="AD1161" s="354"/>
      <c r="AE1161" s="354"/>
      <c r="AF1161" s="354"/>
      <c r="AG1161" s="354"/>
      <c r="AH1161" s="354"/>
      <c r="AI1161" s="354"/>
      <c r="AJ1161" s="354"/>
      <c r="AK1161" s="354"/>
      <c r="AL1161" s="354"/>
      <c r="AM1161" s="354"/>
      <c r="AN1161" s="354"/>
      <c r="AO1161" s="354"/>
      <c r="AP1161" s="354"/>
      <c r="AQ1161" s="354"/>
      <c r="AR1161" s="354"/>
      <c r="AS1161" s="354"/>
      <c r="AT1161" s="354"/>
      <c r="AU1161" s="354"/>
      <c r="AV1161" s="354"/>
      <c r="AW1161" s="354"/>
    </row>
    <row r="1162" spans="1:49">
      <c r="A1162" s="354"/>
      <c r="B1162" s="354"/>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Y1162" s="354"/>
      <c r="Z1162" s="354"/>
      <c r="AA1162" s="354"/>
      <c r="AB1162" s="354"/>
      <c r="AC1162" s="354"/>
      <c r="AD1162" s="354"/>
      <c r="AE1162" s="354"/>
      <c r="AF1162" s="354"/>
      <c r="AG1162" s="354"/>
      <c r="AH1162" s="354"/>
      <c r="AI1162" s="354"/>
      <c r="AJ1162" s="354"/>
      <c r="AK1162" s="354"/>
      <c r="AL1162" s="354"/>
      <c r="AM1162" s="354"/>
      <c r="AN1162" s="354"/>
      <c r="AO1162" s="354"/>
      <c r="AP1162" s="354"/>
      <c r="AQ1162" s="354"/>
      <c r="AR1162" s="354"/>
      <c r="AS1162" s="354"/>
      <c r="AT1162" s="354"/>
      <c r="AU1162" s="354"/>
      <c r="AV1162" s="354"/>
      <c r="AW1162" s="354"/>
    </row>
    <row r="1163" spans="1:49">
      <c r="A1163" s="354"/>
      <c r="B1163" s="354"/>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Y1163" s="354"/>
      <c r="Z1163" s="354"/>
      <c r="AA1163" s="354"/>
      <c r="AB1163" s="354"/>
      <c r="AC1163" s="354"/>
      <c r="AD1163" s="354"/>
      <c r="AE1163" s="354"/>
      <c r="AF1163" s="354"/>
      <c r="AG1163" s="354"/>
      <c r="AH1163" s="354"/>
      <c r="AI1163" s="354"/>
      <c r="AJ1163" s="354"/>
      <c r="AK1163" s="354"/>
      <c r="AL1163" s="354"/>
      <c r="AM1163" s="354"/>
      <c r="AN1163" s="354"/>
      <c r="AO1163" s="354"/>
      <c r="AP1163" s="354"/>
      <c r="AQ1163" s="354"/>
      <c r="AR1163" s="354"/>
      <c r="AS1163" s="354"/>
      <c r="AT1163" s="354"/>
      <c r="AU1163" s="354"/>
      <c r="AV1163" s="354"/>
      <c r="AW1163" s="354"/>
    </row>
    <row r="1164" spans="1:49">
      <c r="A1164" s="354"/>
      <c r="B1164" s="354"/>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Y1164" s="354"/>
      <c r="Z1164" s="354"/>
      <c r="AA1164" s="354"/>
      <c r="AB1164" s="354"/>
      <c r="AC1164" s="354"/>
      <c r="AD1164" s="354"/>
      <c r="AE1164" s="354"/>
      <c r="AF1164" s="354"/>
      <c r="AG1164" s="354"/>
      <c r="AH1164" s="354"/>
      <c r="AI1164" s="354"/>
      <c r="AJ1164" s="354"/>
      <c r="AK1164" s="354"/>
      <c r="AL1164" s="354"/>
      <c r="AM1164" s="354"/>
      <c r="AN1164" s="354"/>
      <c r="AO1164" s="354"/>
      <c r="AP1164" s="354"/>
      <c r="AQ1164" s="354"/>
      <c r="AR1164" s="354"/>
      <c r="AS1164" s="354"/>
      <c r="AT1164" s="354"/>
      <c r="AU1164" s="354"/>
      <c r="AV1164" s="354"/>
      <c r="AW1164" s="354"/>
    </row>
    <row r="1165" spans="1:49">
      <c r="A1165" s="354"/>
      <c r="B1165" s="354"/>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Y1165" s="354"/>
      <c r="Z1165" s="354"/>
      <c r="AA1165" s="354"/>
      <c r="AB1165" s="354"/>
      <c r="AC1165" s="354"/>
      <c r="AD1165" s="354"/>
      <c r="AE1165" s="354"/>
      <c r="AF1165" s="354"/>
      <c r="AG1165" s="354"/>
      <c r="AH1165" s="354"/>
      <c r="AI1165" s="354"/>
      <c r="AJ1165" s="354"/>
      <c r="AK1165" s="354"/>
      <c r="AL1165" s="354"/>
      <c r="AM1165" s="354"/>
      <c r="AN1165" s="354"/>
      <c r="AO1165" s="354"/>
      <c r="AP1165" s="354"/>
      <c r="AQ1165" s="354"/>
      <c r="AR1165" s="354"/>
      <c r="AS1165" s="354"/>
      <c r="AT1165" s="354"/>
      <c r="AU1165" s="354"/>
      <c r="AV1165" s="354"/>
      <c r="AW1165" s="354"/>
    </row>
    <row r="1166" spans="1:49">
      <c r="A1166" s="354"/>
      <c r="B1166" s="354"/>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Y1166" s="354"/>
      <c r="Z1166" s="354"/>
      <c r="AA1166" s="354"/>
      <c r="AB1166" s="354"/>
      <c r="AC1166" s="354"/>
      <c r="AD1166" s="354"/>
      <c r="AE1166" s="354"/>
      <c r="AF1166" s="354"/>
      <c r="AG1166" s="354"/>
      <c r="AH1166" s="354"/>
      <c r="AI1166" s="354"/>
      <c r="AJ1166" s="354"/>
      <c r="AK1166" s="354"/>
      <c r="AL1166" s="354"/>
      <c r="AM1166" s="354"/>
      <c r="AN1166" s="354"/>
      <c r="AO1166" s="354"/>
      <c r="AP1166" s="354"/>
      <c r="AQ1166" s="354"/>
      <c r="AR1166" s="354"/>
      <c r="AS1166" s="354"/>
      <c r="AT1166" s="354"/>
      <c r="AU1166" s="354"/>
      <c r="AV1166" s="354"/>
      <c r="AW1166" s="354"/>
    </row>
    <row r="1167" spans="1:49">
      <c r="A1167" s="354"/>
      <c r="B1167" s="354"/>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Y1167" s="354"/>
      <c r="Z1167" s="354"/>
      <c r="AA1167" s="354"/>
      <c r="AB1167" s="354"/>
      <c r="AC1167" s="354"/>
      <c r="AD1167" s="354"/>
      <c r="AE1167" s="354"/>
      <c r="AF1167" s="354"/>
      <c r="AG1167" s="354"/>
      <c r="AH1167" s="354"/>
      <c r="AI1167" s="354"/>
      <c r="AJ1167" s="354"/>
      <c r="AK1167" s="354"/>
      <c r="AL1167" s="354"/>
      <c r="AM1167" s="354"/>
      <c r="AN1167" s="354"/>
      <c r="AO1167" s="354"/>
      <c r="AP1167" s="354"/>
      <c r="AQ1167" s="354"/>
      <c r="AR1167" s="354"/>
      <c r="AS1167" s="354"/>
      <c r="AT1167" s="354"/>
      <c r="AU1167" s="354"/>
      <c r="AV1167" s="354"/>
      <c r="AW1167" s="354"/>
    </row>
    <row r="1168" spans="1:49">
      <c r="A1168" s="354"/>
      <c r="B1168" s="354"/>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Y1168" s="354"/>
      <c r="Z1168" s="354"/>
      <c r="AA1168" s="354"/>
      <c r="AB1168" s="354"/>
      <c r="AC1168" s="354"/>
      <c r="AD1168" s="354"/>
      <c r="AE1168" s="354"/>
      <c r="AF1168" s="354"/>
      <c r="AG1168" s="354"/>
      <c r="AH1168" s="354"/>
      <c r="AI1168" s="354"/>
      <c r="AJ1168" s="354"/>
      <c r="AK1168" s="354"/>
      <c r="AL1168" s="354"/>
      <c r="AM1168" s="354"/>
      <c r="AN1168" s="354"/>
      <c r="AO1168" s="354"/>
      <c r="AP1168" s="354"/>
      <c r="AQ1168" s="354"/>
      <c r="AR1168" s="354"/>
      <c r="AS1168" s="354"/>
      <c r="AT1168" s="354"/>
      <c r="AU1168" s="354"/>
      <c r="AV1168" s="354"/>
      <c r="AW1168" s="354"/>
    </row>
    <row r="1169" spans="1:49">
      <c r="A1169" s="354"/>
      <c r="B1169" s="354"/>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Y1169" s="354"/>
      <c r="Z1169" s="354"/>
      <c r="AA1169" s="354"/>
      <c r="AB1169" s="354"/>
      <c r="AC1169" s="354"/>
      <c r="AD1169" s="354"/>
      <c r="AE1169" s="354"/>
      <c r="AF1169" s="354"/>
      <c r="AG1169" s="354"/>
      <c r="AH1169" s="354"/>
      <c r="AI1169" s="354"/>
      <c r="AJ1169" s="354"/>
      <c r="AK1169" s="354"/>
      <c r="AL1169" s="354"/>
      <c r="AM1169" s="354"/>
      <c r="AN1169" s="354"/>
      <c r="AO1169" s="354"/>
      <c r="AP1169" s="354"/>
      <c r="AQ1169" s="354"/>
      <c r="AR1169" s="354"/>
      <c r="AS1169" s="354"/>
      <c r="AT1169" s="354"/>
      <c r="AU1169" s="354"/>
      <c r="AV1169" s="354"/>
      <c r="AW1169" s="354"/>
    </row>
    <row r="1170" spans="1:49">
      <c r="A1170" s="354"/>
      <c r="B1170" s="354"/>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Y1170" s="354"/>
      <c r="Z1170" s="354"/>
      <c r="AA1170" s="354"/>
      <c r="AB1170" s="354"/>
      <c r="AC1170" s="354"/>
      <c r="AD1170" s="354"/>
      <c r="AE1170" s="354"/>
      <c r="AF1170" s="354"/>
      <c r="AG1170" s="354"/>
      <c r="AH1170" s="354"/>
      <c r="AI1170" s="354"/>
      <c r="AJ1170" s="354"/>
      <c r="AK1170" s="354"/>
      <c r="AL1170" s="354"/>
      <c r="AM1170" s="354"/>
      <c r="AN1170" s="354"/>
      <c r="AO1170" s="354"/>
      <c r="AP1170" s="354"/>
      <c r="AQ1170" s="354"/>
      <c r="AR1170" s="354"/>
      <c r="AS1170" s="354"/>
      <c r="AT1170" s="354"/>
      <c r="AU1170" s="354"/>
      <c r="AV1170" s="354"/>
      <c r="AW1170" s="354"/>
    </row>
    <row r="1171" spans="1:49">
      <c r="A1171" s="354"/>
      <c r="B1171" s="354"/>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Y1171" s="354"/>
      <c r="Z1171" s="354"/>
      <c r="AA1171" s="354"/>
      <c r="AB1171" s="354"/>
      <c r="AC1171" s="354"/>
      <c r="AD1171" s="354"/>
      <c r="AE1171" s="354"/>
      <c r="AF1171" s="354"/>
      <c r="AG1171" s="354"/>
      <c r="AH1171" s="354"/>
      <c r="AI1171" s="354"/>
      <c r="AJ1171" s="354"/>
      <c r="AK1171" s="354"/>
      <c r="AL1171" s="354"/>
      <c r="AM1171" s="354"/>
      <c r="AN1171" s="354"/>
      <c r="AO1171" s="354"/>
      <c r="AP1171" s="354"/>
      <c r="AQ1171" s="354"/>
      <c r="AR1171" s="354"/>
      <c r="AS1171" s="354"/>
      <c r="AT1171" s="354"/>
      <c r="AU1171" s="354"/>
      <c r="AV1171" s="354"/>
      <c r="AW1171" s="354"/>
    </row>
    <row r="1172" spans="1:49">
      <c r="A1172" s="354"/>
      <c r="B1172" s="354"/>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Y1172" s="354"/>
      <c r="Z1172" s="354"/>
      <c r="AA1172" s="354"/>
      <c r="AB1172" s="354"/>
      <c r="AC1172" s="354"/>
      <c r="AD1172" s="354"/>
      <c r="AE1172" s="354"/>
      <c r="AF1172" s="354"/>
      <c r="AG1172" s="354"/>
      <c r="AH1172" s="354"/>
      <c r="AI1172" s="354"/>
      <c r="AJ1172" s="354"/>
      <c r="AK1172" s="354"/>
      <c r="AL1172" s="354"/>
      <c r="AM1172" s="354"/>
      <c r="AN1172" s="354"/>
      <c r="AO1172" s="354"/>
      <c r="AP1172" s="354"/>
      <c r="AQ1172" s="354"/>
      <c r="AR1172" s="354"/>
      <c r="AS1172" s="354"/>
      <c r="AT1172" s="354"/>
      <c r="AU1172" s="354"/>
      <c r="AV1172" s="354"/>
      <c r="AW1172" s="354"/>
    </row>
    <row r="1173" spans="1:49">
      <c r="A1173" s="354"/>
      <c r="B1173" s="354"/>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Y1173" s="354"/>
      <c r="Z1173" s="354"/>
      <c r="AA1173" s="354"/>
      <c r="AB1173" s="354"/>
      <c r="AC1173" s="354"/>
      <c r="AD1173" s="354"/>
      <c r="AE1173" s="354"/>
      <c r="AF1173" s="354"/>
      <c r="AG1173" s="354"/>
      <c r="AH1173" s="354"/>
      <c r="AI1173" s="354"/>
      <c r="AJ1173" s="354"/>
      <c r="AK1173" s="354"/>
      <c r="AL1173" s="354"/>
      <c r="AM1173" s="354"/>
      <c r="AN1173" s="354"/>
      <c r="AO1173" s="354"/>
      <c r="AP1173" s="354"/>
      <c r="AQ1173" s="354"/>
      <c r="AR1173" s="354"/>
      <c r="AS1173" s="354"/>
      <c r="AT1173" s="354"/>
      <c r="AU1173" s="354"/>
      <c r="AV1173" s="354"/>
      <c r="AW1173" s="354"/>
    </row>
    <row r="1174" spans="1:49">
      <c r="A1174" s="354"/>
      <c r="B1174" s="354"/>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Y1174" s="354"/>
      <c r="Z1174" s="354"/>
      <c r="AA1174" s="354"/>
      <c r="AB1174" s="354"/>
      <c r="AC1174" s="354"/>
      <c r="AD1174" s="354"/>
      <c r="AE1174" s="354"/>
      <c r="AF1174" s="354"/>
      <c r="AG1174" s="354"/>
      <c r="AH1174" s="354"/>
      <c r="AI1174" s="354"/>
      <c r="AJ1174" s="354"/>
      <c r="AK1174" s="354"/>
      <c r="AL1174" s="354"/>
      <c r="AM1174" s="354"/>
      <c r="AN1174" s="354"/>
      <c r="AO1174" s="354"/>
      <c r="AP1174" s="354"/>
      <c r="AQ1174" s="354"/>
      <c r="AR1174" s="354"/>
      <c r="AS1174" s="354"/>
      <c r="AT1174" s="354"/>
      <c r="AU1174" s="354"/>
      <c r="AV1174" s="354"/>
      <c r="AW1174" s="354"/>
    </row>
    <row r="1175" spans="1:49">
      <c r="A1175" s="354"/>
      <c r="B1175" s="354"/>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Y1175" s="354"/>
      <c r="Z1175" s="354"/>
      <c r="AA1175" s="354"/>
      <c r="AB1175" s="354"/>
      <c r="AC1175" s="354"/>
      <c r="AD1175" s="354"/>
      <c r="AE1175" s="354"/>
      <c r="AF1175" s="354"/>
      <c r="AG1175" s="354"/>
      <c r="AH1175" s="354"/>
      <c r="AI1175" s="354"/>
      <c r="AJ1175" s="354"/>
      <c r="AK1175" s="354"/>
      <c r="AL1175" s="354"/>
      <c r="AM1175" s="354"/>
      <c r="AN1175" s="354"/>
      <c r="AO1175" s="354"/>
      <c r="AP1175" s="354"/>
      <c r="AQ1175" s="354"/>
      <c r="AR1175" s="354"/>
      <c r="AS1175" s="354"/>
      <c r="AT1175" s="354"/>
      <c r="AU1175" s="354"/>
      <c r="AV1175" s="354"/>
      <c r="AW1175" s="354"/>
    </row>
    <row r="1176" spans="1:49">
      <c r="A1176" s="354"/>
      <c r="B1176" s="354"/>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Y1176" s="354"/>
      <c r="Z1176" s="354"/>
      <c r="AA1176" s="354"/>
      <c r="AB1176" s="354"/>
      <c r="AC1176" s="354"/>
      <c r="AD1176" s="354"/>
      <c r="AE1176" s="354"/>
      <c r="AF1176" s="354"/>
      <c r="AG1176" s="354"/>
      <c r="AH1176" s="354"/>
      <c r="AI1176" s="354"/>
      <c r="AJ1176" s="354"/>
      <c r="AK1176" s="354"/>
      <c r="AL1176" s="354"/>
      <c r="AM1176" s="354"/>
      <c r="AN1176" s="354"/>
      <c r="AO1176" s="354"/>
      <c r="AP1176" s="354"/>
      <c r="AQ1176" s="354"/>
      <c r="AR1176" s="354"/>
      <c r="AS1176" s="354"/>
      <c r="AT1176" s="354"/>
      <c r="AU1176" s="354"/>
      <c r="AV1176" s="354"/>
      <c r="AW1176" s="354"/>
    </row>
    <row r="1177" spans="1:49">
      <c r="A1177" s="354"/>
      <c r="B1177" s="354"/>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Y1177" s="354"/>
      <c r="Z1177" s="354"/>
      <c r="AA1177" s="354"/>
      <c r="AB1177" s="354"/>
      <c r="AC1177" s="354"/>
      <c r="AD1177" s="354"/>
      <c r="AE1177" s="354"/>
      <c r="AF1177" s="354"/>
      <c r="AG1177" s="354"/>
      <c r="AH1177" s="354"/>
      <c r="AI1177" s="354"/>
      <c r="AJ1177" s="354"/>
      <c r="AK1177" s="354"/>
      <c r="AL1177" s="354"/>
      <c r="AM1177" s="354"/>
      <c r="AN1177" s="354"/>
      <c r="AO1177" s="354"/>
      <c r="AP1177" s="354"/>
      <c r="AQ1177" s="354"/>
      <c r="AR1177" s="354"/>
      <c r="AS1177" s="354"/>
      <c r="AT1177" s="354"/>
      <c r="AU1177" s="354"/>
      <c r="AV1177" s="354"/>
      <c r="AW1177" s="354"/>
    </row>
    <row r="1178" spans="1:49">
      <c r="A1178" s="354"/>
      <c r="B1178" s="354"/>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Y1178" s="354"/>
      <c r="Z1178" s="354"/>
      <c r="AA1178" s="354"/>
      <c r="AB1178" s="354"/>
      <c r="AC1178" s="354"/>
      <c r="AD1178" s="354"/>
      <c r="AE1178" s="354"/>
      <c r="AF1178" s="354"/>
      <c r="AG1178" s="354"/>
      <c r="AH1178" s="354"/>
      <c r="AI1178" s="354"/>
      <c r="AJ1178" s="354"/>
      <c r="AK1178" s="354"/>
      <c r="AL1178" s="354"/>
      <c r="AM1178" s="354"/>
      <c r="AN1178" s="354"/>
      <c r="AO1178" s="354"/>
      <c r="AP1178" s="354"/>
      <c r="AQ1178" s="354"/>
      <c r="AR1178" s="354"/>
      <c r="AS1178" s="354"/>
      <c r="AT1178" s="354"/>
      <c r="AU1178" s="354"/>
      <c r="AV1178" s="354"/>
      <c r="AW1178" s="354"/>
    </row>
    <row r="1179" spans="1:49">
      <c r="A1179" s="354"/>
      <c r="B1179" s="354"/>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Y1179" s="354"/>
      <c r="Z1179" s="354"/>
      <c r="AA1179" s="354"/>
      <c r="AB1179" s="354"/>
      <c r="AC1179" s="354"/>
      <c r="AD1179" s="354"/>
      <c r="AE1179" s="354"/>
      <c r="AF1179" s="354"/>
      <c r="AG1179" s="354"/>
      <c r="AH1179" s="354"/>
      <c r="AI1179" s="354"/>
      <c r="AJ1179" s="354"/>
      <c r="AK1179" s="354"/>
      <c r="AL1179" s="354"/>
      <c r="AM1179" s="354"/>
      <c r="AN1179" s="354"/>
      <c r="AO1179" s="354"/>
      <c r="AP1179" s="354"/>
      <c r="AQ1179" s="354"/>
      <c r="AR1179" s="354"/>
      <c r="AS1179" s="354"/>
      <c r="AT1179" s="354"/>
      <c r="AU1179" s="354"/>
      <c r="AV1179" s="354"/>
      <c r="AW1179" s="354"/>
    </row>
    <row r="1180" spans="1:49">
      <c r="A1180" s="354"/>
      <c r="B1180" s="354"/>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Y1180" s="354"/>
      <c r="Z1180" s="354"/>
      <c r="AA1180" s="354"/>
      <c r="AB1180" s="354"/>
      <c r="AC1180" s="354"/>
      <c r="AD1180" s="354"/>
      <c r="AE1180" s="354"/>
      <c r="AF1180" s="354"/>
      <c r="AG1180" s="354"/>
      <c r="AH1180" s="354"/>
      <c r="AI1180" s="354"/>
      <c r="AJ1180" s="354"/>
      <c r="AK1180" s="354"/>
      <c r="AL1180" s="354"/>
      <c r="AM1180" s="354"/>
      <c r="AN1180" s="354"/>
      <c r="AO1180" s="354"/>
      <c r="AP1180" s="354"/>
      <c r="AQ1180" s="354"/>
      <c r="AR1180" s="354"/>
      <c r="AS1180" s="354"/>
      <c r="AT1180" s="354"/>
      <c r="AU1180" s="354"/>
      <c r="AV1180" s="354"/>
      <c r="AW1180" s="354"/>
    </row>
    <row r="1181" spans="1:49">
      <c r="A1181" s="354"/>
      <c r="B1181" s="354"/>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Y1181" s="354"/>
      <c r="Z1181" s="354"/>
      <c r="AA1181" s="354"/>
      <c r="AB1181" s="354"/>
      <c r="AC1181" s="354"/>
      <c r="AD1181" s="354"/>
      <c r="AE1181" s="354"/>
      <c r="AF1181" s="354"/>
      <c r="AG1181" s="354"/>
      <c r="AH1181" s="354"/>
      <c r="AI1181" s="354"/>
      <c r="AJ1181" s="354"/>
      <c r="AK1181" s="354"/>
      <c r="AL1181" s="354"/>
      <c r="AM1181" s="354"/>
      <c r="AN1181" s="354"/>
      <c r="AO1181" s="354"/>
      <c r="AP1181" s="354"/>
      <c r="AQ1181" s="354"/>
      <c r="AR1181" s="354"/>
      <c r="AS1181" s="354"/>
      <c r="AT1181" s="354"/>
      <c r="AU1181" s="354"/>
      <c r="AV1181" s="354"/>
      <c r="AW1181" s="354"/>
    </row>
    <row r="1182" spans="1:49">
      <c r="A1182" s="354"/>
      <c r="B1182" s="354"/>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Y1182" s="354"/>
      <c r="Z1182" s="354"/>
      <c r="AA1182" s="354"/>
      <c r="AB1182" s="354"/>
      <c r="AC1182" s="354"/>
      <c r="AD1182" s="354"/>
      <c r="AE1182" s="354"/>
      <c r="AF1182" s="354"/>
      <c r="AG1182" s="354"/>
      <c r="AH1182" s="354"/>
      <c r="AI1182" s="354"/>
      <c r="AJ1182" s="354"/>
      <c r="AK1182" s="354"/>
      <c r="AL1182" s="354"/>
      <c r="AM1182" s="354"/>
      <c r="AN1182" s="354"/>
      <c r="AO1182" s="354"/>
      <c r="AP1182" s="354"/>
      <c r="AQ1182" s="354"/>
      <c r="AR1182" s="354"/>
      <c r="AS1182" s="354"/>
      <c r="AT1182" s="354"/>
      <c r="AU1182" s="354"/>
      <c r="AV1182" s="354"/>
      <c r="AW1182" s="354"/>
    </row>
    <row r="1183" spans="1:49">
      <c r="A1183" s="354"/>
      <c r="B1183" s="354"/>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Y1183" s="354"/>
      <c r="Z1183" s="354"/>
      <c r="AA1183" s="354"/>
      <c r="AB1183" s="354"/>
      <c r="AC1183" s="354"/>
      <c r="AD1183" s="354"/>
      <c r="AE1183" s="354"/>
      <c r="AF1183" s="354"/>
      <c r="AG1183" s="354"/>
      <c r="AH1183" s="354"/>
      <c r="AI1183" s="354"/>
      <c r="AJ1183" s="354"/>
      <c r="AK1183" s="354"/>
      <c r="AL1183" s="354"/>
      <c r="AM1183" s="354"/>
      <c r="AN1183" s="354"/>
      <c r="AO1183" s="354"/>
      <c r="AP1183" s="354"/>
      <c r="AQ1183" s="354"/>
      <c r="AR1183" s="354"/>
      <c r="AS1183" s="354"/>
      <c r="AT1183" s="354"/>
      <c r="AU1183" s="354"/>
      <c r="AV1183" s="354"/>
      <c r="AW1183" s="354"/>
    </row>
    <row r="1184" spans="1:49">
      <c r="A1184" s="354"/>
      <c r="B1184" s="354"/>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Y1184" s="354"/>
      <c r="Z1184" s="354"/>
      <c r="AA1184" s="354"/>
      <c r="AB1184" s="354"/>
      <c r="AC1184" s="354"/>
      <c r="AD1184" s="354"/>
      <c r="AE1184" s="354"/>
      <c r="AF1184" s="354"/>
      <c r="AG1184" s="354"/>
      <c r="AH1184" s="354"/>
      <c r="AI1184" s="354"/>
      <c r="AJ1184" s="354"/>
      <c r="AK1184" s="354"/>
      <c r="AL1184" s="354"/>
      <c r="AM1184" s="354"/>
      <c r="AN1184" s="354"/>
      <c r="AO1184" s="354"/>
      <c r="AP1184" s="354"/>
      <c r="AQ1184" s="354"/>
      <c r="AR1184" s="354"/>
      <c r="AS1184" s="354"/>
      <c r="AT1184" s="354"/>
      <c r="AU1184" s="354"/>
      <c r="AV1184" s="354"/>
      <c r="AW1184" s="354"/>
    </row>
    <row r="1185" spans="1:49">
      <c r="A1185" s="354"/>
      <c r="B1185" s="354"/>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Y1185" s="354"/>
      <c r="Z1185" s="354"/>
      <c r="AA1185" s="354"/>
      <c r="AB1185" s="354"/>
      <c r="AC1185" s="354"/>
      <c r="AD1185" s="354"/>
      <c r="AE1185" s="354"/>
      <c r="AF1185" s="354"/>
      <c r="AG1185" s="354"/>
      <c r="AH1185" s="354"/>
      <c r="AI1185" s="354"/>
      <c r="AJ1185" s="354"/>
      <c r="AK1185" s="354"/>
      <c r="AL1185" s="354"/>
      <c r="AM1185" s="354"/>
      <c r="AN1185" s="354"/>
      <c r="AO1185" s="354"/>
      <c r="AP1185" s="354"/>
      <c r="AQ1185" s="354"/>
      <c r="AR1185" s="354"/>
      <c r="AS1185" s="354"/>
      <c r="AT1185" s="354"/>
      <c r="AU1185" s="354"/>
      <c r="AV1185" s="354"/>
      <c r="AW1185" s="354"/>
    </row>
    <row r="1186" spans="1:49">
      <c r="A1186" s="354"/>
      <c r="B1186" s="354"/>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Y1186" s="354"/>
      <c r="Z1186" s="354"/>
      <c r="AA1186" s="354"/>
      <c r="AB1186" s="354"/>
      <c r="AC1186" s="354"/>
      <c r="AD1186" s="354"/>
      <c r="AE1186" s="354"/>
      <c r="AF1186" s="354"/>
      <c r="AG1186" s="354"/>
      <c r="AH1186" s="354"/>
      <c r="AI1186" s="354"/>
      <c r="AJ1186" s="354"/>
      <c r="AK1186" s="354"/>
      <c r="AL1186" s="354"/>
      <c r="AM1186" s="354"/>
      <c r="AN1186" s="354"/>
      <c r="AO1186" s="354"/>
      <c r="AP1186" s="354"/>
      <c r="AQ1186" s="354"/>
      <c r="AR1186" s="354"/>
      <c r="AS1186" s="354"/>
      <c r="AT1186" s="354"/>
      <c r="AU1186" s="354"/>
      <c r="AV1186" s="354"/>
      <c r="AW1186" s="354"/>
    </row>
    <row r="1187" spans="1:49">
      <c r="A1187" s="354"/>
      <c r="B1187" s="354"/>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Y1187" s="354"/>
      <c r="Z1187" s="354"/>
      <c r="AA1187" s="354"/>
      <c r="AB1187" s="354"/>
      <c r="AC1187" s="354"/>
      <c r="AD1187" s="354"/>
      <c r="AE1187" s="354"/>
      <c r="AF1187" s="354"/>
      <c r="AG1187" s="354"/>
      <c r="AH1187" s="354"/>
      <c r="AI1187" s="354"/>
      <c r="AJ1187" s="354"/>
      <c r="AK1187" s="354"/>
      <c r="AL1187" s="354"/>
      <c r="AM1187" s="354"/>
      <c r="AN1187" s="354"/>
      <c r="AO1187" s="354"/>
      <c r="AP1187" s="354"/>
      <c r="AQ1187" s="354"/>
      <c r="AR1187" s="354"/>
      <c r="AS1187" s="354"/>
      <c r="AT1187" s="354"/>
      <c r="AU1187" s="354"/>
      <c r="AV1187" s="354"/>
      <c r="AW1187" s="354"/>
    </row>
    <row r="1188" spans="1:49">
      <c r="A1188" s="354"/>
      <c r="B1188" s="354"/>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Y1188" s="354"/>
      <c r="Z1188" s="354"/>
      <c r="AA1188" s="354"/>
      <c r="AB1188" s="354"/>
      <c r="AC1188" s="354"/>
      <c r="AD1188" s="354"/>
      <c r="AE1188" s="354"/>
      <c r="AF1188" s="354"/>
      <c r="AG1188" s="354"/>
      <c r="AH1188" s="354"/>
      <c r="AI1188" s="354"/>
      <c r="AJ1188" s="354"/>
      <c r="AK1188" s="354"/>
      <c r="AL1188" s="354"/>
      <c r="AM1188" s="354"/>
      <c r="AN1188" s="354"/>
      <c r="AO1188" s="354"/>
      <c r="AP1188" s="354"/>
      <c r="AQ1188" s="354"/>
      <c r="AR1188" s="354"/>
      <c r="AS1188" s="354"/>
      <c r="AT1188" s="354"/>
      <c r="AU1188" s="354"/>
      <c r="AV1188" s="354"/>
      <c r="AW1188" s="354"/>
    </row>
    <row r="1189" spans="1:49">
      <c r="A1189" s="354"/>
      <c r="B1189" s="354"/>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Y1189" s="354"/>
      <c r="Z1189" s="354"/>
      <c r="AA1189" s="354"/>
      <c r="AB1189" s="354"/>
      <c r="AC1189" s="354"/>
      <c r="AD1189" s="354"/>
      <c r="AE1189" s="354"/>
      <c r="AF1189" s="354"/>
      <c r="AG1189" s="354"/>
      <c r="AH1189" s="354"/>
      <c r="AI1189" s="354"/>
      <c r="AJ1189" s="354"/>
      <c r="AK1189" s="354"/>
      <c r="AL1189" s="354"/>
      <c r="AM1189" s="354"/>
      <c r="AN1189" s="354"/>
      <c r="AO1189" s="354"/>
      <c r="AP1189" s="354"/>
      <c r="AQ1189" s="354"/>
      <c r="AR1189" s="354"/>
      <c r="AS1189" s="354"/>
      <c r="AT1189" s="354"/>
      <c r="AU1189" s="354"/>
      <c r="AV1189" s="354"/>
      <c r="AW1189" s="354"/>
    </row>
    <row r="1190" spans="1:49">
      <c r="A1190" s="354"/>
      <c r="B1190" s="354"/>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Y1190" s="354"/>
      <c r="Z1190" s="354"/>
      <c r="AA1190" s="354"/>
      <c r="AB1190" s="354"/>
      <c r="AC1190" s="354"/>
      <c r="AD1190" s="354"/>
      <c r="AE1190" s="354"/>
      <c r="AF1190" s="354"/>
      <c r="AG1190" s="354"/>
      <c r="AH1190" s="354"/>
      <c r="AI1190" s="354"/>
      <c r="AJ1190" s="354"/>
      <c r="AK1190" s="354"/>
      <c r="AL1190" s="354"/>
      <c r="AM1190" s="354"/>
      <c r="AN1190" s="354"/>
      <c r="AO1190" s="354"/>
      <c r="AP1190" s="354"/>
      <c r="AQ1190" s="354"/>
      <c r="AR1190" s="354"/>
      <c r="AS1190" s="354"/>
      <c r="AT1190" s="354"/>
      <c r="AU1190" s="354"/>
      <c r="AV1190" s="354"/>
      <c r="AW1190" s="354"/>
    </row>
    <row r="1191" spans="1:49">
      <c r="A1191" s="354"/>
      <c r="B1191" s="354"/>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Y1191" s="354"/>
      <c r="Z1191" s="354"/>
      <c r="AA1191" s="354"/>
      <c r="AB1191" s="354"/>
      <c r="AC1191" s="354"/>
      <c r="AD1191" s="354"/>
      <c r="AE1191" s="354"/>
      <c r="AF1191" s="354"/>
      <c r="AG1191" s="354"/>
      <c r="AH1191" s="354"/>
      <c r="AI1191" s="354"/>
      <c r="AJ1191" s="354"/>
      <c r="AK1191" s="354"/>
      <c r="AL1191" s="354"/>
      <c r="AM1191" s="354"/>
      <c r="AN1191" s="354"/>
      <c r="AO1191" s="354"/>
      <c r="AP1191" s="354"/>
      <c r="AQ1191" s="354"/>
      <c r="AR1191" s="354"/>
      <c r="AS1191" s="354"/>
      <c r="AT1191" s="354"/>
      <c r="AU1191" s="354"/>
      <c r="AV1191" s="354"/>
      <c r="AW1191" s="354"/>
    </row>
    <row r="1192" spans="1:49">
      <c r="A1192" s="354"/>
      <c r="B1192" s="354"/>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Y1192" s="354"/>
      <c r="Z1192" s="354"/>
      <c r="AA1192" s="354"/>
      <c r="AB1192" s="354"/>
      <c r="AC1192" s="354"/>
      <c r="AD1192" s="354"/>
      <c r="AE1192" s="354"/>
      <c r="AF1192" s="354"/>
      <c r="AG1192" s="354"/>
      <c r="AH1192" s="354"/>
      <c r="AI1192" s="354"/>
      <c r="AJ1192" s="354"/>
      <c r="AK1192" s="354"/>
      <c r="AL1192" s="354"/>
      <c r="AM1192" s="354"/>
      <c r="AN1192" s="354"/>
      <c r="AO1192" s="354"/>
      <c r="AP1192" s="354"/>
      <c r="AQ1192" s="354"/>
      <c r="AR1192" s="354"/>
      <c r="AS1192" s="354"/>
      <c r="AT1192" s="354"/>
      <c r="AU1192" s="354"/>
      <c r="AV1192" s="354"/>
      <c r="AW1192" s="354"/>
    </row>
    <row r="1193" spans="1:49">
      <c r="A1193" s="354"/>
      <c r="B1193" s="354"/>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Y1193" s="354"/>
      <c r="Z1193" s="354"/>
      <c r="AA1193" s="354"/>
      <c r="AB1193" s="354"/>
      <c r="AC1193" s="354"/>
      <c r="AD1193" s="354"/>
      <c r="AE1193" s="354"/>
      <c r="AF1193" s="354"/>
      <c r="AG1193" s="354"/>
      <c r="AH1193" s="354"/>
      <c r="AI1193" s="354"/>
      <c r="AJ1193" s="354"/>
      <c r="AK1193" s="354"/>
      <c r="AL1193" s="354"/>
      <c r="AM1193" s="354"/>
      <c r="AN1193" s="354"/>
      <c r="AO1193" s="354"/>
      <c r="AP1193" s="354"/>
      <c r="AQ1193" s="354"/>
      <c r="AR1193" s="354"/>
      <c r="AS1193" s="354"/>
      <c r="AT1193" s="354"/>
      <c r="AU1193" s="354"/>
      <c r="AV1193" s="354"/>
      <c r="AW1193" s="354"/>
    </row>
    <row r="1194" spans="1:49">
      <c r="A1194" s="354"/>
      <c r="B1194" s="354"/>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Y1194" s="354"/>
      <c r="Z1194" s="354"/>
      <c r="AA1194" s="354"/>
      <c r="AB1194" s="354"/>
      <c r="AC1194" s="354"/>
      <c r="AD1194" s="354"/>
      <c r="AE1194" s="354"/>
      <c r="AF1194" s="354"/>
      <c r="AG1194" s="354"/>
      <c r="AH1194" s="354"/>
      <c r="AI1194" s="354"/>
      <c r="AJ1194" s="354"/>
      <c r="AK1194" s="354"/>
      <c r="AL1194" s="354"/>
      <c r="AM1194" s="354"/>
      <c r="AN1194" s="354"/>
      <c r="AO1194" s="354"/>
      <c r="AP1194" s="354"/>
      <c r="AQ1194" s="354"/>
      <c r="AR1194" s="354"/>
      <c r="AS1194" s="354"/>
      <c r="AT1194" s="354"/>
      <c r="AU1194" s="354"/>
      <c r="AV1194" s="354"/>
      <c r="AW1194" s="354"/>
    </row>
    <row r="1195" spans="1:49">
      <c r="A1195" s="354"/>
      <c r="B1195" s="354"/>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Y1195" s="354"/>
      <c r="Z1195" s="354"/>
      <c r="AA1195" s="354"/>
      <c r="AB1195" s="354"/>
      <c r="AC1195" s="354"/>
      <c r="AD1195" s="354"/>
      <c r="AE1195" s="354"/>
      <c r="AF1195" s="354"/>
      <c r="AG1195" s="354"/>
      <c r="AH1195" s="354"/>
      <c r="AI1195" s="354"/>
      <c r="AJ1195" s="354"/>
      <c r="AK1195" s="354"/>
      <c r="AL1195" s="354"/>
      <c r="AM1195" s="354"/>
      <c r="AN1195" s="354"/>
      <c r="AO1195" s="354"/>
      <c r="AP1195" s="354"/>
      <c r="AQ1195" s="354"/>
      <c r="AR1195" s="354"/>
      <c r="AS1195" s="354"/>
      <c r="AT1195" s="354"/>
      <c r="AU1195" s="354"/>
      <c r="AV1195" s="354"/>
      <c r="AW1195" s="354"/>
    </row>
    <row r="1196" spans="1:49">
      <c r="A1196" s="354"/>
      <c r="B1196" s="354"/>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Y1196" s="354"/>
      <c r="Z1196" s="354"/>
      <c r="AA1196" s="354"/>
      <c r="AB1196" s="354"/>
      <c r="AC1196" s="354"/>
      <c r="AD1196" s="354"/>
      <c r="AE1196" s="354"/>
      <c r="AF1196" s="354"/>
      <c r="AG1196" s="354"/>
      <c r="AH1196" s="354"/>
      <c r="AI1196" s="354"/>
      <c r="AJ1196" s="354"/>
      <c r="AK1196" s="354"/>
      <c r="AL1196" s="354"/>
      <c r="AM1196" s="354"/>
      <c r="AN1196" s="354"/>
      <c r="AO1196" s="354"/>
      <c r="AP1196" s="354"/>
      <c r="AQ1196" s="354"/>
      <c r="AR1196" s="354"/>
      <c r="AS1196" s="354"/>
      <c r="AT1196" s="354"/>
      <c r="AU1196" s="354"/>
      <c r="AV1196" s="354"/>
      <c r="AW1196" s="354"/>
    </row>
    <row r="1197" spans="1:49">
      <c r="A1197" s="354"/>
      <c r="B1197" s="354"/>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Y1197" s="354"/>
      <c r="Z1197" s="354"/>
      <c r="AA1197" s="354"/>
      <c r="AB1197" s="354"/>
      <c r="AC1197" s="354"/>
      <c r="AD1197" s="354"/>
      <c r="AE1197" s="354"/>
      <c r="AF1197" s="354"/>
      <c r="AG1197" s="354"/>
      <c r="AH1197" s="354"/>
      <c r="AI1197" s="354"/>
      <c r="AJ1197" s="354"/>
      <c r="AK1197" s="354"/>
      <c r="AL1197" s="354"/>
      <c r="AM1197" s="354"/>
      <c r="AN1197" s="354"/>
      <c r="AO1197" s="354"/>
      <c r="AP1197" s="354"/>
      <c r="AQ1197" s="354"/>
      <c r="AR1197" s="354"/>
      <c r="AS1197" s="354"/>
      <c r="AT1197" s="354"/>
      <c r="AU1197" s="354"/>
      <c r="AV1197" s="354"/>
      <c r="AW1197" s="354"/>
    </row>
    <row r="1198" spans="1:49">
      <c r="A1198" s="354"/>
      <c r="B1198" s="354"/>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Y1198" s="354"/>
      <c r="Z1198" s="354"/>
      <c r="AA1198" s="354"/>
      <c r="AB1198" s="354"/>
      <c r="AC1198" s="354"/>
      <c r="AD1198" s="354"/>
      <c r="AE1198" s="354"/>
      <c r="AF1198" s="354"/>
      <c r="AG1198" s="354"/>
      <c r="AH1198" s="354"/>
      <c r="AI1198" s="354"/>
      <c r="AJ1198" s="354"/>
      <c r="AK1198" s="354"/>
      <c r="AL1198" s="354"/>
      <c r="AM1198" s="354"/>
      <c r="AN1198" s="354"/>
      <c r="AO1198" s="354"/>
      <c r="AP1198" s="354"/>
      <c r="AQ1198" s="354"/>
      <c r="AR1198" s="354"/>
      <c r="AS1198" s="354"/>
      <c r="AT1198" s="354"/>
      <c r="AU1198" s="354"/>
      <c r="AV1198" s="354"/>
      <c r="AW1198" s="354"/>
    </row>
    <row r="1199" spans="1:49">
      <c r="A1199" s="354"/>
      <c r="B1199" s="354"/>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Y1199" s="354"/>
      <c r="Z1199" s="354"/>
      <c r="AA1199" s="354"/>
      <c r="AB1199" s="354"/>
      <c r="AC1199" s="354"/>
      <c r="AD1199" s="354"/>
      <c r="AE1199" s="354"/>
      <c r="AF1199" s="354"/>
      <c r="AG1199" s="354"/>
      <c r="AH1199" s="354"/>
      <c r="AI1199" s="354"/>
      <c r="AJ1199" s="354"/>
      <c r="AK1199" s="354"/>
      <c r="AL1199" s="354"/>
      <c r="AM1199" s="354"/>
      <c r="AN1199" s="354"/>
      <c r="AO1199" s="354"/>
      <c r="AP1199" s="354"/>
      <c r="AQ1199" s="354"/>
      <c r="AR1199" s="354"/>
      <c r="AS1199" s="354"/>
      <c r="AT1199" s="354"/>
      <c r="AU1199" s="354"/>
      <c r="AV1199" s="354"/>
      <c r="AW1199" s="354"/>
    </row>
    <row r="1200" spans="1:49">
      <c r="A1200" s="354"/>
      <c r="B1200" s="354"/>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Y1200" s="354"/>
      <c r="Z1200" s="354"/>
      <c r="AA1200" s="354"/>
      <c r="AB1200" s="354"/>
      <c r="AC1200" s="354"/>
      <c r="AD1200" s="354"/>
      <c r="AE1200" s="354"/>
      <c r="AF1200" s="354"/>
      <c r="AG1200" s="354"/>
      <c r="AH1200" s="354"/>
      <c r="AI1200" s="354"/>
      <c r="AJ1200" s="354"/>
      <c r="AK1200" s="354"/>
      <c r="AL1200" s="354"/>
      <c r="AM1200" s="354"/>
      <c r="AN1200" s="354"/>
      <c r="AO1200" s="354"/>
      <c r="AP1200" s="354"/>
      <c r="AQ1200" s="354"/>
      <c r="AR1200" s="354"/>
      <c r="AS1200" s="354"/>
      <c r="AT1200" s="354"/>
      <c r="AU1200" s="354"/>
      <c r="AV1200" s="354"/>
      <c r="AW1200" s="354"/>
    </row>
    <row r="1201" spans="1:49">
      <c r="A1201" s="354"/>
      <c r="B1201" s="354"/>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Y1201" s="354"/>
      <c r="Z1201" s="354"/>
      <c r="AA1201" s="354"/>
      <c r="AB1201" s="354"/>
      <c r="AC1201" s="354"/>
      <c r="AD1201" s="354"/>
      <c r="AE1201" s="354"/>
      <c r="AF1201" s="354"/>
      <c r="AG1201" s="354"/>
      <c r="AH1201" s="354"/>
      <c r="AI1201" s="354"/>
      <c r="AJ1201" s="354"/>
      <c r="AK1201" s="354"/>
      <c r="AL1201" s="354"/>
      <c r="AM1201" s="354"/>
      <c r="AN1201" s="354"/>
      <c r="AO1201" s="354"/>
      <c r="AP1201" s="354"/>
      <c r="AQ1201" s="354"/>
      <c r="AR1201" s="354"/>
      <c r="AS1201" s="354"/>
      <c r="AT1201" s="354"/>
      <c r="AU1201" s="354"/>
      <c r="AV1201" s="354"/>
      <c r="AW1201" s="354"/>
    </row>
    <row r="1202" spans="1:49">
      <c r="A1202" s="354"/>
      <c r="B1202" s="354"/>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Y1202" s="354"/>
      <c r="Z1202" s="354"/>
      <c r="AA1202" s="354"/>
      <c r="AB1202" s="354"/>
      <c r="AC1202" s="354"/>
      <c r="AD1202" s="354"/>
      <c r="AE1202" s="354"/>
      <c r="AF1202" s="354"/>
      <c r="AG1202" s="354"/>
      <c r="AH1202" s="354"/>
      <c r="AI1202" s="354"/>
      <c r="AJ1202" s="354"/>
      <c r="AK1202" s="354"/>
      <c r="AL1202" s="354"/>
      <c r="AM1202" s="354"/>
      <c r="AN1202" s="354"/>
      <c r="AO1202" s="354"/>
      <c r="AP1202" s="354"/>
      <c r="AQ1202" s="354"/>
      <c r="AR1202" s="354"/>
      <c r="AS1202" s="354"/>
      <c r="AT1202" s="354"/>
      <c r="AU1202" s="354"/>
      <c r="AV1202" s="354"/>
      <c r="AW1202" s="354"/>
    </row>
    <row r="1203" spans="1:49">
      <c r="A1203" s="354"/>
      <c r="B1203" s="354"/>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Y1203" s="354"/>
      <c r="Z1203" s="354"/>
      <c r="AA1203" s="354"/>
      <c r="AB1203" s="354"/>
      <c r="AC1203" s="354"/>
      <c r="AD1203" s="354"/>
      <c r="AE1203" s="354"/>
      <c r="AF1203" s="354"/>
      <c r="AG1203" s="354"/>
      <c r="AH1203" s="354"/>
      <c r="AI1203" s="354"/>
      <c r="AJ1203" s="354"/>
      <c r="AK1203" s="354"/>
      <c r="AL1203" s="354"/>
      <c r="AM1203" s="354"/>
      <c r="AN1203" s="354"/>
      <c r="AO1203" s="354"/>
      <c r="AP1203" s="354"/>
      <c r="AQ1203" s="354"/>
      <c r="AR1203" s="354"/>
      <c r="AS1203" s="354"/>
      <c r="AT1203" s="354"/>
      <c r="AU1203" s="354"/>
      <c r="AV1203" s="354"/>
      <c r="AW1203" s="354"/>
    </row>
    <row r="1204" spans="1:49">
      <c r="A1204" s="354"/>
      <c r="B1204" s="354"/>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Y1204" s="354"/>
      <c r="Z1204" s="354"/>
      <c r="AA1204" s="354"/>
      <c r="AB1204" s="354"/>
      <c r="AC1204" s="354"/>
      <c r="AD1204" s="354"/>
      <c r="AE1204" s="354"/>
      <c r="AF1204" s="354"/>
      <c r="AG1204" s="354"/>
      <c r="AH1204" s="354"/>
      <c r="AI1204" s="354"/>
      <c r="AJ1204" s="354"/>
      <c r="AK1204" s="354"/>
      <c r="AL1204" s="354"/>
      <c r="AM1204" s="354"/>
      <c r="AN1204" s="354"/>
      <c r="AO1204" s="354"/>
      <c r="AP1204" s="354"/>
      <c r="AQ1204" s="354"/>
      <c r="AR1204" s="354"/>
      <c r="AS1204" s="354"/>
      <c r="AT1204" s="354"/>
      <c r="AU1204" s="354"/>
      <c r="AV1204" s="354"/>
      <c r="AW1204" s="354"/>
    </row>
    <row r="1205" spans="1:49">
      <c r="A1205" s="354"/>
      <c r="B1205" s="354"/>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Y1205" s="354"/>
      <c r="Z1205" s="354"/>
      <c r="AA1205" s="354"/>
      <c r="AB1205" s="354"/>
      <c r="AC1205" s="354"/>
      <c r="AD1205" s="354"/>
      <c r="AE1205" s="354"/>
      <c r="AF1205" s="354"/>
      <c r="AG1205" s="354"/>
      <c r="AH1205" s="354"/>
      <c r="AI1205" s="354"/>
      <c r="AJ1205" s="354"/>
      <c r="AK1205" s="354"/>
      <c r="AL1205" s="354"/>
      <c r="AM1205" s="354"/>
      <c r="AN1205" s="354"/>
      <c r="AO1205" s="354"/>
      <c r="AP1205" s="354"/>
      <c r="AQ1205" s="354"/>
      <c r="AR1205" s="354"/>
      <c r="AS1205" s="354"/>
      <c r="AT1205" s="354"/>
      <c r="AU1205" s="354"/>
      <c r="AV1205" s="354"/>
      <c r="AW1205" s="354"/>
    </row>
    <row r="1206" spans="1:49">
      <c r="A1206" s="354"/>
      <c r="B1206" s="354"/>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Y1206" s="354"/>
      <c r="Z1206" s="354"/>
      <c r="AA1206" s="354"/>
      <c r="AB1206" s="354"/>
      <c r="AC1206" s="354"/>
      <c r="AD1206" s="354"/>
      <c r="AE1206" s="354"/>
      <c r="AF1206" s="354"/>
      <c r="AG1206" s="354"/>
      <c r="AH1206" s="354"/>
      <c r="AI1206" s="354"/>
      <c r="AJ1206" s="354"/>
      <c r="AK1206" s="354"/>
      <c r="AL1206" s="354"/>
      <c r="AM1206" s="354"/>
      <c r="AN1206" s="354"/>
      <c r="AO1206" s="354"/>
      <c r="AP1206" s="354"/>
      <c r="AQ1206" s="354"/>
      <c r="AR1206" s="354"/>
      <c r="AS1206" s="354"/>
      <c r="AT1206" s="354"/>
      <c r="AU1206" s="354"/>
      <c r="AV1206" s="354"/>
      <c r="AW1206" s="354"/>
    </row>
    <row r="1207" spans="1:49">
      <c r="A1207" s="354"/>
      <c r="B1207" s="354"/>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Y1207" s="354"/>
      <c r="Z1207" s="354"/>
      <c r="AA1207" s="354"/>
      <c r="AB1207" s="354"/>
      <c r="AC1207" s="354"/>
      <c r="AD1207" s="354"/>
      <c r="AE1207" s="354"/>
      <c r="AF1207" s="354"/>
      <c r="AG1207" s="354"/>
      <c r="AH1207" s="354"/>
      <c r="AI1207" s="354"/>
      <c r="AJ1207" s="354"/>
      <c r="AK1207" s="354"/>
      <c r="AL1207" s="354"/>
      <c r="AM1207" s="354"/>
      <c r="AN1207" s="354"/>
      <c r="AO1207" s="354"/>
      <c r="AP1207" s="354"/>
      <c r="AQ1207" s="354"/>
      <c r="AR1207" s="354"/>
      <c r="AS1207" s="354"/>
      <c r="AT1207" s="354"/>
      <c r="AU1207" s="354"/>
      <c r="AV1207" s="354"/>
      <c r="AW1207" s="354"/>
    </row>
    <row r="1208" spans="1:49">
      <c r="A1208" s="354"/>
      <c r="B1208" s="354"/>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Y1208" s="354"/>
      <c r="Z1208" s="354"/>
      <c r="AA1208" s="354"/>
      <c r="AB1208" s="354"/>
      <c r="AC1208" s="354"/>
      <c r="AD1208" s="354"/>
      <c r="AE1208" s="354"/>
      <c r="AF1208" s="354"/>
      <c r="AG1208" s="354"/>
      <c r="AH1208" s="354"/>
      <c r="AI1208" s="354"/>
      <c r="AJ1208" s="354"/>
      <c r="AK1208" s="354"/>
      <c r="AL1208" s="354"/>
      <c r="AM1208" s="354"/>
      <c r="AN1208" s="354"/>
      <c r="AO1208" s="354"/>
      <c r="AP1208" s="354"/>
      <c r="AQ1208" s="354"/>
      <c r="AR1208" s="354"/>
      <c r="AS1208" s="354"/>
      <c r="AT1208" s="354"/>
      <c r="AU1208" s="354"/>
      <c r="AV1208" s="354"/>
      <c r="AW1208" s="354"/>
    </row>
    <row r="1209" spans="1:49">
      <c r="A1209" s="354"/>
      <c r="B1209" s="354"/>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Y1209" s="354"/>
      <c r="Z1209" s="354"/>
      <c r="AA1209" s="354"/>
      <c r="AB1209" s="354"/>
      <c r="AC1209" s="354"/>
      <c r="AD1209" s="354"/>
      <c r="AE1209" s="354"/>
      <c r="AF1209" s="354"/>
      <c r="AG1209" s="354"/>
      <c r="AH1209" s="354"/>
      <c r="AI1209" s="354"/>
      <c r="AJ1209" s="354"/>
      <c r="AK1209" s="354"/>
      <c r="AL1209" s="354"/>
      <c r="AM1209" s="354"/>
      <c r="AN1209" s="354"/>
      <c r="AO1209" s="354"/>
      <c r="AP1209" s="354"/>
      <c r="AQ1209" s="354"/>
      <c r="AR1209" s="354"/>
      <c r="AS1209" s="354"/>
      <c r="AT1209" s="354"/>
      <c r="AU1209" s="354"/>
      <c r="AV1209" s="354"/>
      <c r="AW1209" s="354"/>
    </row>
    <row r="1210" spans="1:49">
      <c r="A1210" s="354"/>
      <c r="B1210" s="354"/>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Y1210" s="354"/>
      <c r="Z1210" s="354"/>
      <c r="AA1210" s="354"/>
      <c r="AB1210" s="354"/>
      <c r="AC1210" s="354"/>
      <c r="AD1210" s="354"/>
      <c r="AE1210" s="354"/>
      <c r="AF1210" s="354"/>
      <c r="AG1210" s="354"/>
      <c r="AH1210" s="354"/>
      <c r="AI1210" s="354"/>
      <c r="AJ1210" s="354"/>
      <c r="AK1210" s="354"/>
      <c r="AL1210" s="354"/>
      <c r="AM1210" s="354"/>
      <c r="AN1210" s="354"/>
      <c r="AO1210" s="354"/>
      <c r="AP1210" s="354"/>
      <c r="AQ1210" s="354"/>
      <c r="AR1210" s="354"/>
      <c r="AS1210" s="354"/>
      <c r="AT1210" s="354"/>
      <c r="AU1210" s="354"/>
      <c r="AV1210" s="354"/>
      <c r="AW1210" s="354"/>
    </row>
    <row r="1211" spans="1:49">
      <c r="A1211" s="354"/>
      <c r="B1211" s="354"/>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Y1211" s="354"/>
      <c r="Z1211" s="354"/>
      <c r="AA1211" s="354"/>
      <c r="AB1211" s="354"/>
      <c r="AC1211" s="354"/>
      <c r="AD1211" s="354"/>
      <c r="AE1211" s="354"/>
      <c r="AF1211" s="354"/>
      <c r="AG1211" s="354"/>
      <c r="AH1211" s="354"/>
      <c r="AI1211" s="354"/>
      <c r="AJ1211" s="354"/>
      <c r="AK1211" s="354"/>
      <c r="AL1211" s="354"/>
      <c r="AM1211" s="354"/>
      <c r="AN1211" s="354"/>
      <c r="AO1211" s="354"/>
      <c r="AP1211" s="354"/>
      <c r="AQ1211" s="354"/>
      <c r="AR1211" s="354"/>
      <c r="AS1211" s="354"/>
      <c r="AT1211" s="354"/>
      <c r="AU1211" s="354"/>
      <c r="AV1211" s="354"/>
      <c r="AW1211" s="354"/>
    </row>
    <row r="1212" spans="1:49">
      <c r="A1212" s="354"/>
      <c r="B1212" s="354"/>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Y1212" s="354"/>
      <c r="Z1212" s="354"/>
      <c r="AA1212" s="354"/>
      <c r="AB1212" s="354"/>
      <c r="AC1212" s="354"/>
      <c r="AD1212" s="354"/>
      <c r="AE1212" s="354"/>
      <c r="AF1212" s="354"/>
      <c r="AG1212" s="354"/>
      <c r="AH1212" s="354"/>
      <c r="AI1212" s="354"/>
      <c r="AJ1212" s="354"/>
      <c r="AK1212" s="354"/>
      <c r="AL1212" s="354"/>
      <c r="AM1212" s="354"/>
      <c r="AN1212" s="354"/>
      <c r="AO1212" s="354"/>
      <c r="AP1212" s="354"/>
      <c r="AQ1212" s="354"/>
      <c r="AR1212" s="354"/>
      <c r="AS1212" s="354"/>
      <c r="AT1212" s="354"/>
      <c r="AU1212" s="354"/>
      <c r="AV1212" s="354"/>
      <c r="AW1212" s="354"/>
    </row>
    <row r="1213" spans="1:49">
      <c r="A1213" s="354"/>
      <c r="B1213" s="354"/>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Y1213" s="354"/>
      <c r="Z1213" s="354"/>
      <c r="AA1213" s="354"/>
      <c r="AB1213" s="354"/>
      <c r="AC1213" s="354"/>
      <c r="AD1213" s="354"/>
      <c r="AE1213" s="354"/>
      <c r="AF1213" s="354"/>
      <c r="AG1213" s="354"/>
      <c r="AH1213" s="354"/>
      <c r="AI1213" s="354"/>
      <c r="AJ1213" s="354"/>
      <c r="AK1213" s="354"/>
      <c r="AL1213" s="354"/>
      <c r="AM1213" s="354"/>
      <c r="AN1213" s="354"/>
      <c r="AO1213" s="354"/>
      <c r="AP1213" s="354"/>
      <c r="AQ1213" s="354"/>
      <c r="AR1213" s="354"/>
      <c r="AS1213" s="354"/>
      <c r="AT1213" s="354"/>
      <c r="AU1213" s="354"/>
      <c r="AV1213" s="354"/>
      <c r="AW1213" s="354"/>
    </row>
    <row r="1214" spans="1:49">
      <c r="A1214" s="354"/>
      <c r="B1214" s="354"/>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Y1214" s="354"/>
      <c r="Z1214" s="354"/>
      <c r="AA1214" s="354"/>
      <c r="AB1214" s="354"/>
      <c r="AC1214" s="354"/>
      <c r="AD1214" s="354"/>
      <c r="AE1214" s="354"/>
      <c r="AF1214" s="354"/>
      <c r="AG1214" s="354"/>
      <c r="AH1214" s="354"/>
      <c r="AI1214" s="354"/>
      <c r="AJ1214" s="354"/>
      <c r="AK1214" s="354"/>
      <c r="AL1214" s="354"/>
      <c r="AM1214" s="354"/>
      <c r="AN1214" s="354"/>
      <c r="AO1214" s="354"/>
      <c r="AP1214" s="354"/>
      <c r="AQ1214" s="354"/>
      <c r="AR1214" s="354"/>
      <c r="AS1214" s="354"/>
      <c r="AT1214" s="354"/>
      <c r="AU1214" s="354"/>
      <c r="AV1214" s="354"/>
      <c r="AW1214" s="354"/>
    </row>
    <row r="1215" spans="1:49">
      <c r="A1215" s="354"/>
      <c r="B1215" s="354"/>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Y1215" s="354"/>
      <c r="Z1215" s="354"/>
      <c r="AA1215" s="354"/>
      <c r="AB1215" s="354"/>
      <c r="AC1215" s="354"/>
      <c r="AD1215" s="354"/>
      <c r="AE1215" s="354"/>
      <c r="AF1215" s="354"/>
      <c r="AG1215" s="354"/>
      <c r="AH1215" s="354"/>
      <c r="AI1215" s="354"/>
      <c r="AJ1215" s="354"/>
      <c r="AK1215" s="354"/>
      <c r="AL1215" s="354"/>
      <c r="AM1215" s="354"/>
      <c r="AN1215" s="354"/>
      <c r="AO1215" s="354"/>
      <c r="AP1215" s="354"/>
      <c r="AQ1215" s="354"/>
      <c r="AR1215" s="354"/>
      <c r="AS1215" s="354"/>
      <c r="AT1215" s="354"/>
      <c r="AU1215" s="354"/>
      <c r="AV1215" s="354"/>
      <c r="AW1215" s="354"/>
    </row>
    <row r="1216" spans="1:49">
      <c r="A1216" s="354"/>
      <c r="B1216" s="354"/>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Y1216" s="354"/>
      <c r="Z1216" s="354"/>
      <c r="AA1216" s="354"/>
      <c r="AB1216" s="354"/>
      <c r="AC1216" s="354"/>
      <c r="AD1216" s="354"/>
      <c r="AE1216" s="354"/>
      <c r="AF1216" s="354"/>
      <c r="AG1216" s="354"/>
      <c r="AH1216" s="354"/>
      <c r="AI1216" s="354"/>
      <c r="AJ1216" s="354"/>
      <c r="AK1216" s="354"/>
      <c r="AL1216" s="354"/>
      <c r="AM1216" s="354"/>
      <c r="AN1216" s="354"/>
      <c r="AO1216" s="354"/>
      <c r="AP1216" s="354"/>
      <c r="AQ1216" s="354"/>
      <c r="AR1216" s="354"/>
      <c r="AS1216" s="354"/>
      <c r="AT1216" s="354"/>
      <c r="AU1216" s="354"/>
      <c r="AV1216" s="354"/>
      <c r="AW1216" s="354"/>
    </row>
    <row r="1217" spans="1:49">
      <c r="A1217" s="354"/>
      <c r="B1217" s="354"/>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Y1217" s="354"/>
      <c r="Z1217" s="354"/>
      <c r="AA1217" s="354"/>
      <c r="AB1217" s="354"/>
      <c r="AC1217" s="354"/>
      <c r="AD1217" s="354"/>
      <c r="AE1217" s="354"/>
      <c r="AF1217" s="354"/>
      <c r="AG1217" s="354"/>
      <c r="AH1217" s="354"/>
      <c r="AI1217" s="354"/>
      <c r="AJ1217" s="354"/>
      <c r="AK1217" s="354"/>
      <c r="AL1217" s="354"/>
      <c r="AM1217" s="354"/>
      <c r="AN1217" s="354"/>
      <c r="AO1217" s="354"/>
      <c r="AP1217" s="354"/>
      <c r="AQ1217" s="354"/>
      <c r="AR1217" s="354"/>
      <c r="AS1217" s="354"/>
      <c r="AT1217" s="354"/>
      <c r="AU1217" s="354"/>
      <c r="AV1217" s="354"/>
      <c r="AW1217" s="354"/>
    </row>
    <row r="1218" spans="1:49">
      <c r="A1218" s="354"/>
      <c r="B1218" s="354"/>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Y1218" s="354"/>
      <c r="Z1218" s="354"/>
      <c r="AA1218" s="354"/>
      <c r="AB1218" s="354"/>
      <c r="AC1218" s="354"/>
      <c r="AD1218" s="354"/>
      <c r="AE1218" s="354"/>
      <c r="AF1218" s="354"/>
      <c r="AG1218" s="354"/>
      <c r="AH1218" s="354"/>
      <c r="AI1218" s="354"/>
      <c r="AJ1218" s="354"/>
      <c r="AK1218" s="354"/>
      <c r="AL1218" s="354"/>
      <c r="AM1218" s="354"/>
      <c r="AN1218" s="354"/>
      <c r="AO1218" s="354"/>
      <c r="AP1218" s="354"/>
      <c r="AQ1218" s="354"/>
      <c r="AR1218" s="354"/>
      <c r="AS1218" s="354"/>
      <c r="AT1218" s="354"/>
      <c r="AU1218" s="354"/>
      <c r="AV1218" s="354"/>
      <c r="AW1218" s="354"/>
    </row>
    <row r="1219" spans="1:49">
      <c r="A1219" s="354"/>
      <c r="B1219" s="354"/>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Y1219" s="354"/>
      <c r="Z1219" s="354"/>
      <c r="AA1219" s="354"/>
      <c r="AB1219" s="354"/>
      <c r="AC1219" s="354"/>
      <c r="AD1219" s="354"/>
      <c r="AE1219" s="354"/>
      <c r="AF1219" s="354"/>
      <c r="AG1219" s="354"/>
      <c r="AH1219" s="354"/>
      <c r="AI1219" s="354"/>
      <c r="AJ1219" s="354"/>
      <c r="AK1219" s="354"/>
      <c r="AL1219" s="354"/>
      <c r="AM1219" s="354"/>
      <c r="AN1219" s="354"/>
      <c r="AO1219" s="354"/>
      <c r="AP1219" s="354"/>
      <c r="AQ1219" s="354"/>
      <c r="AR1219" s="354"/>
      <c r="AS1219" s="354"/>
      <c r="AT1219" s="354"/>
      <c r="AU1219" s="354"/>
      <c r="AV1219" s="354"/>
      <c r="AW1219" s="354"/>
    </row>
    <row r="1220" spans="1:49">
      <c r="A1220" s="354"/>
      <c r="B1220" s="354"/>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Y1220" s="354"/>
      <c r="Z1220" s="354"/>
      <c r="AA1220" s="354"/>
      <c r="AB1220" s="354"/>
      <c r="AC1220" s="354"/>
      <c r="AD1220" s="354"/>
      <c r="AE1220" s="354"/>
      <c r="AF1220" s="354"/>
      <c r="AG1220" s="354"/>
      <c r="AH1220" s="354"/>
      <c r="AI1220" s="354"/>
      <c r="AJ1220" s="354"/>
      <c r="AK1220" s="354"/>
      <c r="AL1220" s="354"/>
      <c r="AM1220" s="354"/>
      <c r="AN1220" s="354"/>
      <c r="AO1220" s="354"/>
      <c r="AP1220" s="354"/>
      <c r="AQ1220" s="354"/>
      <c r="AR1220" s="354"/>
      <c r="AS1220" s="354"/>
      <c r="AT1220" s="354"/>
      <c r="AU1220" s="354"/>
      <c r="AV1220" s="354"/>
      <c r="AW1220" s="354"/>
    </row>
    <row r="1221" spans="1:49">
      <c r="A1221" s="354"/>
      <c r="B1221" s="354"/>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Y1221" s="354"/>
      <c r="Z1221" s="354"/>
      <c r="AA1221" s="354"/>
      <c r="AB1221" s="354"/>
      <c r="AC1221" s="354"/>
      <c r="AD1221" s="354"/>
      <c r="AE1221" s="354"/>
      <c r="AF1221" s="354"/>
      <c r="AG1221" s="354"/>
      <c r="AH1221" s="354"/>
      <c r="AI1221" s="354"/>
      <c r="AJ1221" s="354"/>
      <c r="AK1221" s="354"/>
      <c r="AL1221" s="354"/>
      <c r="AM1221" s="354"/>
      <c r="AN1221" s="354"/>
      <c r="AO1221" s="354"/>
      <c r="AP1221" s="354"/>
      <c r="AQ1221" s="354"/>
      <c r="AR1221" s="354"/>
      <c r="AS1221" s="354"/>
      <c r="AT1221" s="354"/>
      <c r="AU1221" s="354"/>
      <c r="AV1221" s="354"/>
      <c r="AW1221" s="354"/>
    </row>
    <row r="1222" spans="1:49">
      <c r="A1222" s="354"/>
      <c r="B1222" s="354"/>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Y1222" s="354"/>
      <c r="Z1222" s="354"/>
      <c r="AA1222" s="354"/>
      <c r="AB1222" s="354"/>
      <c r="AC1222" s="354"/>
      <c r="AD1222" s="354"/>
      <c r="AE1222" s="354"/>
      <c r="AF1222" s="354"/>
      <c r="AG1222" s="354"/>
      <c r="AH1222" s="354"/>
      <c r="AI1222" s="354"/>
      <c r="AJ1222" s="354"/>
      <c r="AK1222" s="354"/>
      <c r="AL1222" s="354"/>
      <c r="AM1222" s="354"/>
      <c r="AN1222" s="354"/>
      <c r="AO1222" s="354"/>
      <c r="AP1222" s="354"/>
      <c r="AQ1222" s="354"/>
      <c r="AR1222" s="354"/>
      <c r="AS1222" s="354"/>
      <c r="AT1222" s="354"/>
      <c r="AU1222" s="354"/>
      <c r="AV1222" s="354"/>
      <c r="AW1222" s="354"/>
    </row>
    <row r="1223" spans="1:49">
      <c r="A1223" s="354"/>
      <c r="B1223" s="354"/>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Y1223" s="354"/>
      <c r="Z1223" s="354"/>
      <c r="AA1223" s="354"/>
      <c r="AB1223" s="354"/>
      <c r="AC1223" s="354"/>
      <c r="AD1223" s="354"/>
      <c r="AE1223" s="354"/>
      <c r="AF1223" s="354"/>
      <c r="AG1223" s="354"/>
      <c r="AH1223" s="354"/>
      <c r="AI1223" s="354"/>
      <c r="AJ1223" s="354"/>
      <c r="AK1223" s="354"/>
      <c r="AL1223" s="354"/>
      <c r="AM1223" s="354"/>
      <c r="AN1223" s="354"/>
      <c r="AO1223" s="354"/>
      <c r="AP1223" s="354"/>
      <c r="AQ1223" s="354"/>
      <c r="AR1223" s="354"/>
      <c r="AS1223" s="354"/>
      <c r="AT1223" s="354"/>
      <c r="AU1223" s="354"/>
      <c r="AV1223" s="354"/>
      <c r="AW1223" s="354"/>
    </row>
    <row r="1224" spans="1:49">
      <c r="A1224" s="354"/>
      <c r="B1224" s="354"/>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Y1224" s="354"/>
      <c r="Z1224" s="354"/>
      <c r="AA1224" s="354"/>
      <c r="AB1224" s="354"/>
      <c r="AC1224" s="354"/>
      <c r="AD1224" s="354"/>
      <c r="AE1224" s="354"/>
      <c r="AF1224" s="354"/>
      <c r="AG1224" s="354"/>
      <c r="AH1224" s="354"/>
      <c r="AI1224" s="354"/>
      <c r="AJ1224" s="354"/>
      <c r="AK1224" s="354"/>
      <c r="AL1224" s="354"/>
      <c r="AM1224" s="354"/>
      <c r="AN1224" s="354"/>
      <c r="AO1224" s="354"/>
      <c r="AP1224" s="354"/>
      <c r="AQ1224" s="354"/>
      <c r="AR1224" s="354"/>
      <c r="AS1224" s="354"/>
      <c r="AT1224" s="354"/>
      <c r="AU1224" s="354"/>
      <c r="AV1224" s="354"/>
      <c r="AW1224" s="354"/>
    </row>
    <row r="1225" spans="1:49">
      <c r="A1225" s="354"/>
      <c r="B1225" s="354"/>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Y1225" s="354"/>
      <c r="Z1225" s="354"/>
      <c r="AA1225" s="354"/>
      <c r="AB1225" s="354"/>
      <c r="AC1225" s="354"/>
      <c r="AD1225" s="354"/>
      <c r="AE1225" s="354"/>
      <c r="AF1225" s="354"/>
      <c r="AG1225" s="354"/>
      <c r="AH1225" s="354"/>
      <c r="AI1225" s="354"/>
      <c r="AJ1225" s="354"/>
      <c r="AK1225" s="354"/>
      <c r="AL1225" s="354"/>
      <c r="AM1225" s="354"/>
      <c r="AN1225" s="354"/>
      <c r="AO1225" s="354"/>
      <c r="AP1225" s="354"/>
      <c r="AQ1225" s="354"/>
      <c r="AR1225" s="354"/>
      <c r="AS1225" s="354"/>
      <c r="AT1225" s="354"/>
      <c r="AU1225" s="354"/>
      <c r="AV1225" s="354"/>
      <c r="AW1225" s="354"/>
    </row>
    <row r="1226" spans="1:49">
      <c r="A1226" s="354"/>
      <c r="B1226" s="354"/>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Y1226" s="354"/>
      <c r="Z1226" s="354"/>
      <c r="AA1226" s="354"/>
      <c r="AB1226" s="354"/>
      <c r="AC1226" s="354"/>
      <c r="AD1226" s="354"/>
      <c r="AE1226" s="354"/>
      <c r="AF1226" s="354"/>
      <c r="AG1226" s="354"/>
      <c r="AH1226" s="354"/>
      <c r="AI1226" s="354"/>
      <c r="AJ1226" s="354"/>
      <c r="AK1226" s="354"/>
      <c r="AL1226" s="354"/>
      <c r="AM1226" s="354"/>
      <c r="AN1226" s="354"/>
      <c r="AO1226" s="354"/>
      <c r="AP1226" s="354"/>
      <c r="AQ1226" s="354"/>
      <c r="AR1226" s="354"/>
      <c r="AS1226" s="354"/>
      <c r="AT1226" s="354"/>
      <c r="AU1226" s="354"/>
      <c r="AV1226" s="354"/>
      <c r="AW1226" s="354"/>
    </row>
    <row r="1227" spans="1:49">
      <c r="A1227" s="354"/>
      <c r="B1227" s="354"/>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Y1227" s="354"/>
      <c r="Z1227" s="354"/>
      <c r="AA1227" s="354"/>
      <c r="AB1227" s="354"/>
      <c r="AC1227" s="354"/>
      <c r="AD1227" s="354"/>
      <c r="AE1227" s="354"/>
      <c r="AF1227" s="354"/>
      <c r="AG1227" s="354"/>
      <c r="AH1227" s="354"/>
      <c r="AI1227" s="354"/>
      <c r="AJ1227" s="354"/>
      <c r="AK1227" s="354"/>
      <c r="AL1227" s="354"/>
      <c r="AM1227" s="354"/>
      <c r="AN1227" s="354"/>
      <c r="AO1227" s="354"/>
      <c r="AP1227" s="354"/>
      <c r="AQ1227" s="354"/>
      <c r="AR1227" s="354"/>
      <c r="AS1227" s="354"/>
      <c r="AT1227" s="354"/>
      <c r="AU1227" s="354"/>
      <c r="AV1227" s="354"/>
      <c r="AW1227" s="354"/>
    </row>
    <row r="1228" spans="1:49">
      <c r="A1228" s="354"/>
      <c r="B1228" s="354"/>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Y1228" s="354"/>
      <c r="Z1228" s="354"/>
      <c r="AA1228" s="354"/>
      <c r="AB1228" s="354"/>
      <c r="AC1228" s="354"/>
      <c r="AD1228" s="354"/>
      <c r="AE1228" s="354"/>
      <c r="AF1228" s="354"/>
      <c r="AG1228" s="354"/>
      <c r="AH1228" s="354"/>
      <c r="AI1228" s="354"/>
      <c r="AJ1228" s="354"/>
      <c r="AK1228" s="354"/>
      <c r="AL1228" s="354"/>
      <c r="AM1228" s="354"/>
      <c r="AN1228" s="354"/>
      <c r="AO1228" s="354"/>
      <c r="AP1228" s="354"/>
      <c r="AQ1228" s="354"/>
      <c r="AR1228" s="354"/>
      <c r="AS1228" s="354"/>
      <c r="AT1228" s="354"/>
      <c r="AU1228" s="354"/>
      <c r="AV1228" s="354"/>
      <c r="AW1228" s="354"/>
    </row>
    <row r="1229" spans="1:49">
      <c r="A1229" s="354"/>
      <c r="B1229" s="354"/>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Y1229" s="354"/>
      <c r="Z1229" s="354"/>
      <c r="AA1229" s="354"/>
      <c r="AB1229" s="354"/>
      <c r="AC1229" s="354"/>
      <c r="AD1229" s="354"/>
      <c r="AE1229" s="354"/>
      <c r="AF1229" s="354"/>
      <c r="AG1229" s="354"/>
      <c r="AH1229" s="354"/>
      <c r="AI1229" s="354"/>
      <c r="AJ1229" s="354"/>
      <c r="AK1229" s="354"/>
      <c r="AL1229" s="354"/>
      <c r="AM1229" s="354"/>
      <c r="AN1229" s="354"/>
      <c r="AO1229" s="354"/>
      <c r="AP1229" s="354"/>
      <c r="AQ1229" s="354"/>
      <c r="AR1229" s="354"/>
      <c r="AS1229" s="354"/>
      <c r="AT1229" s="354"/>
      <c r="AU1229" s="354"/>
      <c r="AV1229" s="354"/>
      <c r="AW1229" s="354"/>
    </row>
    <row r="1230" spans="1:49">
      <c r="A1230" s="354"/>
      <c r="B1230" s="354"/>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Y1230" s="354"/>
      <c r="Z1230" s="354"/>
      <c r="AA1230" s="354"/>
      <c r="AB1230" s="354"/>
      <c r="AC1230" s="354"/>
      <c r="AD1230" s="354"/>
      <c r="AE1230" s="354"/>
      <c r="AF1230" s="354"/>
      <c r="AG1230" s="354"/>
      <c r="AH1230" s="354"/>
      <c r="AI1230" s="354"/>
      <c r="AJ1230" s="354"/>
      <c r="AK1230" s="354"/>
      <c r="AL1230" s="354"/>
      <c r="AM1230" s="354"/>
      <c r="AN1230" s="354"/>
      <c r="AO1230" s="354"/>
      <c r="AP1230" s="354"/>
      <c r="AQ1230" s="354"/>
      <c r="AR1230" s="354"/>
      <c r="AS1230" s="354"/>
      <c r="AT1230" s="354"/>
      <c r="AU1230" s="354"/>
      <c r="AV1230" s="354"/>
      <c r="AW1230" s="354"/>
    </row>
    <row r="1231" spans="1:49">
      <c r="A1231" s="354"/>
      <c r="B1231" s="354"/>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Y1231" s="354"/>
      <c r="Z1231" s="354"/>
      <c r="AA1231" s="354"/>
      <c r="AB1231" s="354"/>
      <c r="AC1231" s="354"/>
      <c r="AD1231" s="354"/>
      <c r="AE1231" s="354"/>
      <c r="AF1231" s="354"/>
      <c r="AG1231" s="354"/>
      <c r="AH1231" s="354"/>
      <c r="AI1231" s="354"/>
      <c r="AJ1231" s="354"/>
      <c r="AK1231" s="354"/>
      <c r="AL1231" s="354"/>
      <c r="AM1231" s="354"/>
      <c r="AN1231" s="354"/>
      <c r="AO1231" s="354"/>
      <c r="AP1231" s="354"/>
      <c r="AQ1231" s="354"/>
      <c r="AR1231" s="354"/>
      <c r="AS1231" s="354"/>
      <c r="AT1231" s="354"/>
      <c r="AU1231" s="354"/>
      <c r="AV1231" s="354"/>
      <c r="AW1231" s="354"/>
    </row>
    <row r="1232" spans="1:49">
      <c r="A1232" s="354"/>
      <c r="B1232" s="354"/>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Y1232" s="354"/>
      <c r="Z1232" s="354"/>
      <c r="AA1232" s="354"/>
      <c r="AB1232" s="354"/>
      <c r="AC1232" s="354"/>
      <c r="AD1232" s="354"/>
      <c r="AE1232" s="354"/>
      <c r="AF1232" s="354"/>
      <c r="AG1232" s="354"/>
      <c r="AH1232" s="354"/>
      <c r="AI1232" s="354"/>
      <c r="AJ1232" s="354"/>
      <c r="AK1232" s="354"/>
      <c r="AL1232" s="354"/>
      <c r="AM1232" s="354"/>
      <c r="AN1232" s="354"/>
      <c r="AO1232" s="354"/>
      <c r="AP1232" s="354"/>
      <c r="AQ1232" s="354"/>
      <c r="AR1232" s="354"/>
      <c r="AS1232" s="354"/>
      <c r="AT1232" s="354"/>
      <c r="AU1232" s="354"/>
      <c r="AV1232" s="354"/>
      <c r="AW1232" s="354"/>
    </row>
    <row r="1233" spans="1:49">
      <c r="A1233" s="354"/>
      <c r="B1233" s="354"/>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Y1233" s="354"/>
      <c r="Z1233" s="354"/>
      <c r="AA1233" s="354"/>
      <c r="AB1233" s="354"/>
      <c r="AC1233" s="354"/>
      <c r="AD1233" s="354"/>
      <c r="AE1233" s="354"/>
      <c r="AF1233" s="354"/>
      <c r="AG1233" s="354"/>
      <c r="AH1233" s="354"/>
      <c r="AI1233" s="354"/>
      <c r="AJ1233" s="354"/>
      <c r="AK1233" s="354"/>
      <c r="AL1233" s="354"/>
      <c r="AM1233" s="354"/>
      <c r="AN1233" s="354"/>
      <c r="AO1233" s="354"/>
      <c r="AP1233" s="354"/>
      <c r="AQ1233" s="354"/>
      <c r="AR1233" s="354"/>
      <c r="AS1233" s="354"/>
      <c r="AT1233" s="354"/>
      <c r="AU1233" s="354"/>
      <c r="AV1233" s="354"/>
      <c r="AW1233" s="354"/>
    </row>
    <row r="1234" spans="1:49">
      <c r="A1234" s="354"/>
      <c r="B1234" s="354"/>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Y1234" s="354"/>
      <c r="Z1234" s="354"/>
      <c r="AA1234" s="354"/>
      <c r="AB1234" s="354"/>
      <c r="AC1234" s="354"/>
      <c r="AD1234" s="354"/>
      <c r="AE1234" s="354"/>
      <c r="AF1234" s="354"/>
      <c r="AG1234" s="354"/>
      <c r="AH1234" s="354"/>
      <c r="AI1234" s="354"/>
      <c r="AJ1234" s="354"/>
      <c r="AK1234" s="354"/>
      <c r="AL1234" s="354"/>
      <c r="AM1234" s="354"/>
      <c r="AN1234" s="354"/>
      <c r="AO1234" s="354"/>
      <c r="AP1234" s="354"/>
      <c r="AQ1234" s="354"/>
      <c r="AR1234" s="354"/>
      <c r="AS1234" s="354"/>
      <c r="AT1234" s="354"/>
      <c r="AU1234" s="354"/>
      <c r="AV1234" s="354"/>
      <c r="AW1234" s="354"/>
    </row>
    <row r="1235" spans="1:49">
      <c r="A1235" s="354"/>
      <c r="B1235" s="354"/>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Y1235" s="354"/>
      <c r="Z1235" s="354"/>
      <c r="AA1235" s="354"/>
      <c r="AB1235" s="354"/>
      <c r="AC1235" s="354"/>
      <c r="AD1235" s="354"/>
      <c r="AE1235" s="354"/>
      <c r="AF1235" s="354"/>
      <c r="AG1235" s="354"/>
      <c r="AH1235" s="354"/>
      <c r="AI1235" s="354"/>
      <c r="AJ1235" s="354"/>
      <c r="AK1235" s="354"/>
      <c r="AL1235" s="354"/>
      <c r="AM1235" s="354"/>
      <c r="AN1235" s="354"/>
      <c r="AO1235" s="354"/>
      <c r="AP1235" s="354"/>
      <c r="AQ1235" s="354"/>
      <c r="AR1235" s="354"/>
      <c r="AS1235" s="354"/>
      <c r="AT1235" s="354"/>
      <c r="AU1235" s="354"/>
      <c r="AV1235" s="354"/>
      <c r="AW1235" s="354"/>
    </row>
    <row r="1236" spans="1:49">
      <c r="A1236" s="354"/>
      <c r="B1236" s="354"/>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Y1236" s="354"/>
      <c r="Z1236" s="354"/>
      <c r="AA1236" s="354"/>
      <c r="AB1236" s="354"/>
      <c r="AC1236" s="354"/>
      <c r="AD1236" s="354"/>
      <c r="AE1236" s="354"/>
      <c r="AF1236" s="354"/>
      <c r="AG1236" s="354"/>
      <c r="AH1236" s="354"/>
      <c r="AI1236" s="354"/>
      <c r="AJ1236" s="354"/>
      <c r="AK1236" s="354"/>
      <c r="AL1236" s="354"/>
      <c r="AM1236" s="354"/>
      <c r="AN1236" s="354"/>
      <c r="AO1236" s="354"/>
      <c r="AP1236" s="354"/>
      <c r="AQ1236" s="354"/>
      <c r="AR1236" s="354"/>
      <c r="AS1236" s="354"/>
      <c r="AT1236" s="354"/>
      <c r="AU1236" s="354"/>
      <c r="AV1236" s="354"/>
      <c r="AW1236" s="354"/>
    </row>
    <row r="1237" spans="1:49">
      <c r="A1237" s="354"/>
      <c r="B1237" s="354"/>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Y1237" s="354"/>
      <c r="Z1237" s="354"/>
      <c r="AA1237" s="354"/>
      <c r="AB1237" s="354"/>
      <c r="AC1237" s="354"/>
      <c r="AD1237" s="354"/>
      <c r="AE1237" s="354"/>
      <c r="AF1237" s="354"/>
      <c r="AG1237" s="354"/>
      <c r="AH1237" s="354"/>
      <c r="AI1237" s="354"/>
      <c r="AJ1237" s="354"/>
      <c r="AK1237" s="354"/>
      <c r="AL1237" s="354"/>
      <c r="AM1237" s="354"/>
      <c r="AN1237" s="354"/>
      <c r="AO1237" s="354"/>
      <c r="AP1237" s="354"/>
      <c r="AQ1237" s="354"/>
      <c r="AR1237" s="354"/>
      <c r="AS1237" s="354"/>
      <c r="AT1237" s="354"/>
      <c r="AU1237" s="354"/>
      <c r="AV1237" s="354"/>
      <c r="AW1237" s="354"/>
    </row>
    <row r="1238" spans="1:49">
      <c r="A1238" s="354"/>
      <c r="B1238" s="354"/>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Y1238" s="354"/>
      <c r="Z1238" s="354"/>
      <c r="AA1238" s="354"/>
      <c r="AB1238" s="354"/>
      <c r="AC1238" s="354"/>
      <c r="AD1238" s="354"/>
      <c r="AE1238" s="354"/>
      <c r="AF1238" s="354"/>
      <c r="AG1238" s="354"/>
      <c r="AH1238" s="354"/>
      <c r="AI1238" s="354"/>
      <c r="AJ1238" s="354"/>
      <c r="AK1238" s="354"/>
      <c r="AL1238" s="354"/>
      <c r="AM1238" s="354"/>
      <c r="AN1238" s="354"/>
      <c r="AO1238" s="354"/>
      <c r="AP1238" s="354"/>
      <c r="AQ1238" s="354"/>
      <c r="AR1238" s="354"/>
      <c r="AS1238" s="354"/>
      <c r="AT1238" s="354"/>
      <c r="AU1238" s="354"/>
      <c r="AV1238" s="354"/>
      <c r="AW1238" s="354"/>
    </row>
    <row r="1239" spans="1:49">
      <c r="A1239" s="354"/>
      <c r="B1239" s="354"/>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Y1239" s="354"/>
      <c r="Z1239" s="354"/>
      <c r="AA1239" s="354"/>
      <c r="AB1239" s="354"/>
      <c r="AC1239" s="354"/>
      <c r="AD1239" s="354"/>
      <c r="AE1239" s="354"/>
      <c r="AF1239" s="354"/>
      <c r="AG1239" s="354"/>
      <c r="AH1239" s="354"/>
      <c r="AI1239" s="354"/>
      <c r="AJ1239" s="354"/>
      <c r="AK1239" s="354"/>
      <c r="AL1239" s="354"/>
      <c r="AM1239" s="354"/>
      <c r="AN1239" s="354"/>
      <c r="AO1239" s="354"/>
      <c r="AP1239" s="354"/>
      <c r="AQ1239" s="354"/>
      <c r="AR1239" s="354"/>
      <c r="AS1239" s="354"/>
      <c r="AT1239" s="354"/>
      <c r="AU1239" s="354"/>
      <c r="AV1239" s="354"/>
      <c r="AW1239" s="354"/>
    </row>
    <row r="1240" spans="1:49">
      <c r="A1240" s="354"/>
      <c r="B1240" s="354"/>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Y1240" s="354"/>
      <c r="Z1240" s="354"/>
      <c r="AA1240" s="354"/>
      <c r="AB1240" s="354"/>
      <c r="AC1240" s="354"/>
      <c r="AD1240" s="354"/>
      <c r="AE1240" s="354"/>
      <c r="AF1240" s="354"/>
      <c r="AG1240" s="354"/>
      <c r="AH1240" s="354"/>
      <c r="AI1240" s="354"/>
      <c r="AJ1240" s="354"/>
      <c r="AK1240" s="354"/>
      <c r="AL1240" s="354"/>
      <c r="AM1240" s="354"/>
      <c r="AN1240" s="354"/>
      <c r="AO1240" s="354"/>
      <c r="AP1240" s="354"/>
      <c r="AQ1240" s="354"/>
      <c r="AR1240" s="354"/>
      <c r="AS1240" s="354"/>
      <c r="AT1240" s="354"/>
      <c r="AU1240" s="354"/>
      <c r="AV1240" s="354"/>
      <c r="AW1240" s="354"/>
    </row>
    <row r="1241" spans="1:49">
      <c r="A1241" s="354"/>
      <c r="B1241" s="354"/>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Y1241" s="354"/>
      <c r="Z1241" s="354"/>
      <c r="AA1241" s="354"/>
      <c r="AB1241" s="354"/>
      <c r="AC1241" s="354"/>
      <c r="AD1241" s="354"/>
      <c r="AE1241" s="354"/>
      <c r="AF1241" s="354"/>
      <c r="AG1241" s="354"/>
      <c r="AH1241" s="354"/>
      <c r="AI1241" s="354"/>
      <c r="AJ1241" s="354"/>
      <c r="AK1241" s="354"/>
      <c r="AL1241" s="354"/>
      <c r="AM1241" s="354"/>
      <c r="AN1241" s="354"/>
      <c r="AO1241" s="354"/>
      <c r="AP1241" s="354"/>
      <c r="AQ1241" s="354"/>
      <c r="AR1241" s="354"/>
      <c r="AS1241" s="354"/>
      <c r="AT1241" s="354"/>
      <c r="AU1241" s="354"/>
      <c r="AV1241" s="354"/>
      <c r="AW1241" s="354"/>
    </row>
    <row r="1242" spans="1:49">
      <c r="A1242" s="354"/>
      <c r="B1242" s="354"/>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Y1242" s="354"/>
      <c r="Z1242" s="354"/>
      <c r="AA1242" s="354"/>
      <c r="AB1242" s="354"/>
      <c r="AC1242" s="354"/>
      <c r="AD1242" s="354"/>
      <c r="AE1242" s="354"/>
      <c r="AF1242" s="354"/>
      <c r="AG1242" s="354"/>
      <c r="AH1242" s="354"/>
      <c r="AI1242" s="354"/>
      <c r="AJ1242" s="354"/>
      <c r="AK1242" s="354"/>
      <c r="AL1242" s="354"/>
      <c r="AM1242" s="354"/>
      <c r="AN1242" s="354"/>
      <c r="AO1242" s="354"/>
      <c r="AP1242" s="354"/>
      <c r="AQ1242" s="354"/>
      <c r="AR1242" s="354"/>
      <c r="AS1242" s="354"/>
      <c r="AT1242" s="354"/>
      <c r="AU1242" s="354"/>
      <c r="AV1242" s="354"/>
      <c r="AW1242" s="354"/>
    </row>
    <row r="1243" spans="1:49">
      <c r="A1243" s="354"/>
      <c r="B1243" s="354"/>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Y1243" s="354"/>
      <c r="Z1243" s="354"/>
      <c r="AA1243" s="354"/>
      <c r="AB1243" s="354"/>
      <c r="AC1243" s="354"/>
      <c r="AD1243" s="354"/>
      <c r="AE1243" s="354"/>
      <c r="AF1243" s="354"/>
      <c r="AG1243" s="354"/>
      <c r="AH1243" s="354"/>
      <c r="AI1243" s="354"/>
      <c r="AJ1243" s="354"/>
      <c r="AK1243" s="354"/>
      <c r="AL1243" s="354"/>
      <c r="AM1243" s="354"/>
      <c r="AN1243" s="354"/>
      <c r="AO1243" s="354"/>
      <c r="AP1243" s="354"/>
      <c r="AQ1243" s="354"/>
      <c r="AR1243" s="354"/>
      <c r="AS1243" s="354"/>
      <c r="AT1243" s="354"/>
      <c r="AU1243" s="354"/>
      <c r="AV1243" s="354"/>
      <c r="AW1243" s="354"/>
    </row>
    <row r="1244" spans="1:49">
      <c r="A1244" s="354"/>
      <c r="B1244" s="354"/>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Y1244" s="354"/>
      <c r="Z1244" s="354"/>
      <c r="AA1244" s="354"/>
      <c r="AB1244" s="354"/>
      <c r="AC1244" s="354"/>
      <c r="AD1244" s="354"/>
      <c r="AE1244" s="354"/>
      <c r="AF1244" s="354"/>
      <c r="AG1244" s="354"/>
      <c r="AH1244" s="354"/>
      <c r="AI1244" s="354"/>
      <c r="AJ1244" s="354"/>
      <c r="AK1244" s="354"/>
      <c r="AL1244" s="354"/>
      <c r="AM1244" s="354"/>
      <c r="AN1244" s="354"/>
      <c r="AO1244" s="354"/>
      <c r="AP1244" s="354"/>
      <c r="AQ1244" s="354"/>
      <c r="AR1244" s="354"/>
      <c r="AS1244" s="354"/>
      <c r="AT1244" s="354"/>
      <c r="AU1244" s="354"/>
      <c r="AV1244" s="354"/>
      <c r="AW1244" s="354"/>
    </row>
    <row r="1245" spans="1:49">
      <c r="A1245" s="354"/>
      <c r="B1245" s="354"/>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Y1245" s="354"/>
      <c r="Z1245" s="354"/>
      <c r="AA1245" s="354"/>
      <c r="AB1245" s="354"/>
      <c r="AC1245" s="354"/>
      <c r="AD1245" s="354"/>
      <c r="AE1245" s="354"/>
      <c r="AF1245" s="354"/>
      <c r="AG1245" s="354"/>
      <c r="AH1245" s="354"/>
      <c r="AI1245" s="354"/>
      <c r="AJ1245" s="354"/>
      <c r="AK1245" s="354"/>
      <c r="AL1245" s="354"/>
      <c r="AM1245" s="354"/>
      <c r="AN1245" s="354"/>
      <c r="AO1245" s="354"/>
      <c r="AP1245" s="354"/>
      <c r="AQ1245" s="354"/>
      <c r="AR1245" s="354"/>
      <c r="AS1245" s="354"/>
      <c r="AT1245" s="354"/>
      <c r="AU1245" s="354"/>
      <c r="AV1245" s="354"/>
      <c r="AW1245" s="354"/>
    </row>
    <row r="1246" spans="1:49">
      <c r="A1246" s="354"/>
      <c r="B1246" s="354"/>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Y1246" s="354"/>
      <c r="Z1246" s="354"/>
      <c r="AA1246" s="354"/>
      <c r="AB1246" s="354"/>
      <c r="AC1246" s="354"/>
      <c r="AD1246" s="354"/>
      <c r="AE1246" s="354"/>
      <c r="AF1246" s="354"/>
      <c r="AG1246" s="354"/>
      <c r="AH1246" s="354"/>
      <c r="AI1246" s="354"/>
      <c r="AJ1246" s="354"/>
      <c r="AK1246" s="354"/>
      <c r="AL1246" s="354"/>
      <c r="AM1246" s="354"/>
      <c r="AN1246" s="354"/>
      <c r="AO1246" s="354"/>
      <c r="AP1246" s="354"/>
      <c r="AQ1246" s="354"/>
      <c r="AR1246" s="354"/>
      <c r="AS1246" s="354"/>
      <c r="AT1246" s="354"/>
      <c r="AU1246" s="354"/>
      <c r="AV1246" s="354"/>
      <c r="AW1246" s="354"/>
    </row>
    <row r="1247" spans="1:49">
      <c r="A1247" s="354"/>
      <c r="B1247" s="354"/>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Y1247" s="354"/>
      <c r="Z1247" s="354"/>
      <c r="AA1247" s="354"/>
      <c r="AB1247" s="354"/>
      <c r="AC1247" s="354"/>
      <c r="AD1247" s="354"/>
      <c r="AE1247" s="354"/>
      <c r="AF1247" s="354"/>
      <c r="AG1247" s="354"/>
      <c r="AH1247" s="354"/>
      <c r="AI1247" s="354"/>
      <c r="AJ1247" s="354"/>
      <c r="AK1247" s="354"/>
      <c r="AL1247" s="354"/>
      <c r="AM1247" s="354"/>
      <c r="AN1247" s="354"/>
      <c r="AO1247" s="354"/>
      <c r="AP1247" s="354"/>
      <c r="AQ1247" s="354"/>
      <c r="AR1247" s="354"/>
      <c r="AS1247" s="354"/>
      <c r="AT1247" s="354"/>
      <c r="AU1247" s="354"/>
      <c r="AV1247" s="354"/>
      <c r="AW1247" s="354"/>
    </row>
    <row r="1248" spans="1:49">
      <c r="A1248" s="354"/>
      <c r="B1248" s="354"/>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Y1248" s="354"/>
      <c r="Z1248" s="354"/>
      <c r="AA1248" s="354"/>
      <c r="AB1248" s="354"/>
      <c r="AC1248" s="354"/>
      <c r="AD1248" s="354"/>
      <c r="AE1248" s="354"/>
      <c r="AF1248" s="354"/>
      <c r="AG1248" s="354"/>
      <c r="AH1248" s="354"/>
      <c r="AI1248" s="354"/>
      <c r="AJ1248" s="354"/>
      <c r="AK1248" s="354"/>
      <c r="AL1248" s="354"/>
      <c r="AM1248" s="354"/>
      <c r="AN1248" s="354"/>
      <c r="AO1248" s="354"/>
      <c r="AP1248" s="354"/>
      <c r="AQ1248" s="354"/>
      <c r="AR1248" s="354"/>
      <c r="AS1248" s="354"/>
      <c r="AT1248" s="354"/>
      <c r="AU1248" s="354"/>
      <c r="AV1248" s="354"/>
      <c r="AW1248" s="354"/>
    </row>
    <row r="1249" spans="1:49">
      <c r="A1249" s="354"/>
      <c r="B1249" s="354"/>
      <c r="C1249" s="354"/>
      <c r="D1249" s="354"/>
      <c r="E1249" s="354"/>
      <c r="F1249" s="354"/>
      <c r="G1249" s="354"/>
      <c r="H1249" s="354"/>
      <c r="I1249" s="354"/>
      <c r="J1249" s="354"/>
      <c r="K1249" s="354"/>
      <c r="L1249" s="354"/>
      <c r="M1249" s="354"/>
      <c r="N1249" s="354"/>
      <c r="O1249" s="354"/>
      <c r="P1249" s="354"/>
      <c r="Q1249" s="354"/>
      <c r="R1249" s="354"/>
      <c r="S1249" s="354"/>
      <c r="T1249" s="354"/>
      <c r="U1249" s="354"/>
      <c r="V1249" s="354"/>
      <c r="W1249" s="354"/>
      <c r="X1249" s="354"/>
      <c r="Y1249" s="354"/>
      <c r="Z1249" s="354"/>
      <c r="AA1249" s="354"/>
      <c r="AB1249" s="354"/>
      <c r="AC1249" s="354"/>
      <c r="AD1249" s="354"/>
      <c r="AE1249" s="354"/>
      <c r="AF1249" s="354"/>
      <c r="AG1249" s="354"/>
      <c r="AH1249" s="354"/>
      <c r="AI1249" s="354"/>
      <c r="AJ1249" s="354"/>
      <c r="AK1249" s="354"/>
      <c r="AL1249" s="354"/>
      <c r="AM1249" s="354"/>
      <c r="AN1249" s="354"/>
      <c r="AO1249" s="354"/>
      <c r="AP1249" s="354"/>
      <c r="AQ1249" s="354"/>
      <c r="AR1249" s="354"/>
      <c r="AS1249" s="354"/>
      <c r="AT1249" s="354"/>
      <c r="AU1249" s="354"/>
      <c r="AV1249" s="354"/>
      <c r="AW1249" s="354"/>
    </row>
    <row r="1250" spans="1:49">
      <c r="A1250" s="354"/>
      <c r="B1250" s="354"/>
      <c r="C1250" s="354"/>
      <c r="D1250" s="354"/>
      <c r="E1250" s="354"/>
      <c r="F1250" s="354"/>
      <c r="G1250" s="354"/>
      <c r="H1250" s="354"/>
      <c r="I1250" s="354"/>
      <c r="J1250" s="354"/>
      <c r="K1250" s="354"/>
      <c r="L1250" s="354"/>
      <c r="M1250" s="354"/>
      <c r="N1250" s="354"/>
      <c r="O1250" s="354"/>
      <c r="P1250" s="354"/>
      <c r="Q1250" s="354"/>
      <c r="R1250" s="354"/>
      <c r="S1250" s="354"/>
      <c r="T1250" s="354"/>
      <c r="U1250" s="354"/>
      <c r="V1250" s="354"/>
      <c r="W1250" s="354"/>
      <c r="X1250" s="354"/>
      <c r="Y1250" s="354"/>
      <c r="Z1250" s="354"/>
      <c r="AA1250" s="354"/>
      <c r="AB1250" s="354"/>
      <c r="AC1250" s="354"/>
      <c r="AD1250" s="354"/>
      <c r="AE1250" s="354"/>
      <c r="AF1250" s="354"/>
      <c r="AG1250" s="354"/>
      <c r="AH1250" s="354"/>
      <c r="AI1250" s="354"/>
      <c r="AJ1250" s="354"/>
      <c r="AK1250" s="354"/>
      <c r="AL1250" s="354"/>
      <c r="AM1250" s="354"/>
      <c r="AN1250" s="354"/>
      <c r="AO1250" s="354"/>
      <c r="AP1250" s="354"/>
      <c r="AQ1250" s="354"/>
      <c r="AR1250" s="354"/>
      <c r="AS1250" s="354"/>
      <c r="AT1250" s="354"/>
      <c r="AU1250" s="354"/>
      <c r="AV1250" s="354"/>
      <c r="AW1250" s="354"/>
    </row>
    <row r="1251" spans="1:49">
      <c r="A1251" s="354"/>
      <c r="B1251" s="354"/>
      <c r="C1251" s="354"/>
      <c r="D1251" s="354"/>
      <c r="E1251" s="354"/>
      <c r="F1251" s="354"/>
      <c r="G1251" s="354"/>
      <c r="H1251" s="354"/>
      <c r="I1251" s="354"/>
      <c r="J1251" s="354"/>
      <c r="K1251" s="354"/>
      <c r="L1251" s="354"/>
      <c r="M1251" s="354"/>
      <c r="N1251" s="354"/>
      <c r="O1251" s="354"/>
      <c r="P1251" s="354"/>
      <c r="Q1251" s="354"/>
      <c r="R1251" s="354"/>
      <c r="S1251" s="354"/>
      <c r="T1251" s="354"/>
      <c r="U1251" s="354"/>
      <c r="V1251" s="354"/>
      <c r="W1251" s="354"/>
      <c r="X1251" s="354"/>
      <c r="Y1251" s="354"/>
      <c r="Z1251" s="354"/>
      <c r="AA1251" s="354"/>
      <c r="AB1251" s="354"/>
      <c r="AC1251" s="354"/>
      <c r="AD1251" s="354"/>
      <c r="AE1251" s="354"/>
      <c r="AF1251" s="354"/>
      <c r="AG1251" s="354"/>
      <c r="AH1251" s="354"/>
      <c r="AI1251" s="354"/>
      <c r="AJ1251" s="354"/>
      <c r="AK1251" s="354"/>
      <c r="AL1251" s="354"/>
      <c r="AM1251" s="354"/>
      <c r="AN1251" s="354"/>
      <c r="AO1251" s="354"/>
      <c r="AP1251" s="354"/>
      <c r="AQ1251" s="354"/>
      <c r="AR1251" s="354"/>
      <c r="AS1251" s="354"/>
      <c r="AT1251" s="354"/>
      <c r="AU1251" s="354"/>
      <c r="AV1251" s="354"/>
      <c r="AW1251" s="354"/>
    </row>
    <row r="1252" spans="1:49">
      <c r="A1252" s="354"/>
      <c r="B1252" s="354"/>
      <c r="C1252" s="354"/>
      <c r="D1252" s="354"/>
      <c r="E1252" s="354"/>
      <c r="F1252" s="354"/>
      <c r="G1252" s="354"/>
      <c r="H1252" s="354"/>
      <c r="I1252" s="354"/>
      <c r="J1252" s="354"/>
      <c r="K1252" s="354"/>
      <c r="L1252" s="354"/>
      <c r="M1252" s="354"/>
      <c r="N1252" s="354"/>
      <c r="O1252" s="354"/>
      <c r="P1252" s="354"/>
      <c r="Q1252" s="354"/>
      <c r="R1252" s="354"/>
      <c r="S1252" s="354"/>
      <c r="T1252" s="354"/>
      <c r="U1252" s="354"/>
      <c r="V1252" s="354"/>
      <c r="W1252" s="354"/>
      <c r="X1252" s="354"/>
      <c r="Y1252" s="354"/>
      <c r="Z1252" s="354"/>
      <c r="AA1252" s="354"/>
      <c r="AB1252" s="354"/>
      <c r="AC1252" s="354"/>
      <c r="AD1252" s="354"/>
      <c r="AE1252" s="354"/>
      <c r="AF1252" s="354"/>
      <c r="AG1252" s="354"/>
      <c r="AH1252" s="354"/>
      <c r="AI1252" s="354"/>
      <c r="AJ1252" s="354"/>
      <c r="AK1252" s="354"/>
      <c r="AL1252" s="354"/>
      <c r="AM1252" s="354"/>
      <c r="AN1252" s="354"/>
      <c r="AO1252" s="354"/>
      <c r="AP1252" s="354"/>
      <c r="AQ1252" s="354"/>
      <c r="AR1252" s="354"/>
      <c r="AS1252" s="354"/>
      <c r="AT1252" s="354"/>
      <c r="AU1252" s="354"/>
      <c r="AV1252" s="354"/>
      <c r="AW1252" s="354"/>
    </row>
    <row r="1253" spans="1:49">
      <c r="A1253" s="354"/>
      <c r="B1253" s="354"/>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Y1253" s="354"/>
      <c r="Z1253" s="354"/>
      <c r="AA1253" s="354"/>
      <c r="AB1253" s="354"/>
      <c r="AC1253" s="354"/>
      <c r="AD1253" s="354"/>
      <c r="AE1253" s="354"/>
      <c r="AF1253" s="354"/>
      <c r="AG1253" s="354"/>
      <c r="AH1253" s="354"/>
      <c r="AI1253" s="354"/>
      <c r="AJ1253" s="354"/>
      <c r="AK1253" s="354"/>
      <c r="AL1253" s="354"/>
      <c r="AM1253" s="354"/>
      <c r="AN1253" s="354"/>
      <c r="AO1253" s="354"/>
      <c r="AP1253" s="354"/>
      <c r="AQ1253" s="354"/>
      <c r="AR1253" s="354"/>
      <c r="AS1253" s="354"/>
      <c r="AT1253" s="354"/>
      <c r="AU1253" s="354"/>
      <c r="AV1253" s="354"/>
      <c r="AW1253" s="354"/>
    </row>
    <row r="1254" spans="1:49">
      <c r="A1254" s="354"/>
      <c r="B1254" s="354"/>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Y1254" s="354"/>
      <c r="Z1254" s="354"/>
      <c r="AA1254" s="354"/>
      <c r="AB1254" s="354"/>
      <c r="AC1254" s="354"/>
      <c r="AD1254" s="354"/>
      <c r="AE1254" s="354"/>
      <c r="AF1254" s="354"/>
      <c r="AG1254" s="354"/>
      <c r="AH1254" s="354"/>
      <c r="AI1254" s="354"/>
      <c r="AJ1254" s="354"/>
      <c r="AK1254" s="354"/>
      <c r="AL1254" s="354"/>
      <c r="AM1254" s="354"/>
      <c r="AN1254" s="354"/>
      <c r="AO1254" s="354"/>
      <c r="AP1254" s="354"/>
      <c r="AQ1254" s="354"/>
      <c r="AR1254" s="354"/>
      <c r="AS1254" s="354"/>
      <c r="AT1254" s="354"/>
      <c r="AU1254" s="354"/>
      <c r="AV1254" s="354"/>
      <c r="AW1254" s="354"/>
    </row>
    <row r="1255" spans="1:49">
      <c r="A1255" s="354"/>
      <c r="B1255" s="354"/>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Y1255" s="354"/>
      <c r="Z1255" s="354"/>
      <c r="AA1255" s="354"/>
      <c r="AB1255" s="354"/>
      <c r="AC1255" s="354"/>
      <c r="AD1255" s="354"/>
      <c r="AE1255" s="354"/>
      <c r="AF1255" s="354"/>
      <c r="AG1255" s="354"/>
      <c r="AH1255" s="354"/>
      <c r="AI1255" s="354"/>
      <c r="AJ1255" s="354"/>
      <c r="AK1255" s="354"/>
      <c r="AL1255" s="354"/>
      <c r="AM1255" s="354"/>
      <c r="AN1255" s="354"/>
      <c r="AO1255" s="354"/>
      <c r="AP1255" s="354"/>
      <c r="AQ1255" s="354"/>
      <c r="AR1255" s="354"/>
      <c r="AS1255" s="354"/>
      <c r="AT1255" s="354"/>
      <c r="AU1255" s="354"/>
      <c r="AV1255" s="354"/>
      <c r="AW1255" s="354"/>
    </row>
    <row r="1256" spans="1:49">
      <c r="A1256" s="354"/>
      <c r="B1256" s="354"/>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Y1256" s="354"/>
      <c r="Z1256" s="354"/>
      <c r="AA1256" s="354"/>
      <c r="AB1256" s="354"/>
      <c r="AC1256" s="354"/>
      <c r="AD1256" s="354"/>
      <c r="AE1256" s="354"/>
      <c r="AF1256" s="354"/>
      <c r="AG1256" s="354"/>
      <c r="AH1256" s="354"/>
      <c r="AI1256" s="354"/>
      <c r="AJ1256" s="354"/>
      <c r="AK1256" s="354"/>
      <c r="AL1256" s="354"/>
      <c r="AM1256" s="354"/>
      <c r="AN1256" s="354"/>
      <c r="AO1256" s="354"/>
      <c r="AP1256" s="354"/>
      <c r="AQ1256" s="354"/>
      <c r="AR1256" s="354"/>
      <c r="AS1256" s="354"/>
      <c r="AT1256" s="354"/>
      <c r="AU1256" s="354"/>
      <c r="AV1256" s="354"/>
      <c r="AW1256" s="354"/>
    </row>
    <row r="1257" spans="1:49">
      <c r="A1257" s="354"/>
      <c r="B1257" s="354"/>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Y1257" s="354"/>
      <c r="Z1257" s="354"/>
      <c r="AA1257" s="354"/>
      <c r="AB1257" s="354"/>
      <c r="AC1257" s="354"/>
      <c r="AD1257" s="354"/>
      <c r="AE1257" s="354"/>
      <c r="AF1257" s="354"/>
      <c r="AG1257" s="354"/>
      <c r="AH1257" s="354"/>
      <c r="AI1257" s="354"/>
      <c r="AJ1257" s="354"/>
      <c r="AK1257" s="354"/>
      <c r="AL1257" s="354"/>
      <c r="AM1257" s="354"/>
      <c r="AN1257" s="354"/>
      <c r="AO1257" s="354"/>
      <c r="AP1257" s="354"/>
      <c r="AQ1257" s="354"/>
      <c r="AR1257" s="354"/>
      <c r="AS1257" s="354"/>
      <c r="AT1257" s="354"/>
      <c r="AU1257" s="354"/>
      <c r="AV1257" s="354"/>
      <c r="AW1257" s="354"/>
    </row>
    <row r="1258" spans="1:49">
      <c r="A1258" s="354"/>
      <c r="B1258" s="354"/>
      <c r="C1258" s="354"/>
      <c r="D1258" s="354"/>
      <c r="E1258" s="354"/>
      <c r="F1258" s="354"/>
      <c r="G1258" s="354"/>
      <c r="H1258" s="354"/>
      <c r="I1258" s="354"/>
      <c r="J1258" s="354"/>
      <c r="K1258" s="354"/>
      <c r="L1258" s="354"/>
      <c r="M1258" s="354"/>
      <c r="N1258" s="354"/>
      <c r="O1258" s="354"/>
      <c r="P1258" s="354"/>
      <c r="Q1258" s="354"/>
      <c r="R1258" s="354"/>
      <c r="S1258" s="354"/>
      <c r="T1258" s="354"/>
      <c r="U1258" s="354"/>
      <c r="V1258" s="354"/>
      <c r="W1258" s="354"/>
      <c r="X1258" s="354"/>
      <c r="Y1258" s="354"/>
      <c r="Z1258" s="354"/>
      <c r="AA1258" s="354"/>
      <c r="AB1258" s="354"/>
      <c r="AC1258" s="354"/>
      <c r="AD1258" s="354"/>
      <c r="AE1258" s="354"/>
      <c r="AF1258" s="354"/>
      <c r="AG1258" s="354"/>
      <c r="AH1258" s="354"/>
      <c r="AI1258" s="354"/>
      <c r="AJ1258" s="354"/>
      <c r="AK1258" s="354"/>
      <c r="AL1258" s="354"/>
      <c r="AM1258" s="354"/>
      <c r="AN1258" s="354"/>
      <c r="AO1258" s="354"/>
      <c r="AP1258" s="354"/>
      <c r="AQ1258" s="354"/>
      <c r="AR1258" s="354"/>
      <c r="AS1258" s="354"/>
      <c r="AT1258" s="354"/>
      <c r="AU1258" s="354"/>
      <c r="AV1258" s="354"/>
      <c r="AW1258" s="354"/>
    </row>
    <row r="1259" spans="1:49">
      <c r="A1259" s="354"/>
      <c r="B1259" s="354"/>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Y1259" s="354"/>
      <c r="Z1259" s="354"/>
      <c r="AA1259" s="354"/>
      <c r="AB1259" s="354"/>
      <c r="AC1259" s="354"/>
      <c r="AD1259" s="354"/>
      <c r="AE1259" s="354"/>
      <c r="AF1259" s="354"/>
      <c r="AG1259" s="354"/>
      <c r="AH1259" s="354"/>
      <c r="AI1259" s="354"/>
      <c r="AJ1259" s="354"/>
      <c r="AK1259" s="354"/>
      <c r="AL1259" s="354"/>
      <c r="AM1259" s="354"/>
      <c r="AN1259" s="354"/>
      <c r="AO1259" s="354"/>
      <c r="AP1259" s="354"/>
      <c r="AQ1259" s="354"/>
      <c r="AR1259" s="354"/>
      <c r="AS1259" s="354"/>
      <c r="AT1259" s="354"/>
      <c r="AU1259" s="354"/>
      <c r="AV1259" s="354"/>
      <c r="AW1259" s="354"/>
    </row>
    <row r="1260" spans="1:49">
      <c r="A1260" s="354"/>
      <c r="B1260" s="354"/>
      <c r="C1260" s="354"/>
      <c r="D1260" s="354"/>
      <c r="E1260" s="354"/>
      <c r="F1260" s="354"/>
      <c r="G1260" s="354"/>
      <c r="H1260" s="354"/>
      <c r="I1260" s="354"/>
      <c r="J1260" s="354"/>
      <c r="K1260" s="354"/>
      <c r="L1260" s="354"/>
      <c r="M1260" s="354"/>
      <c r="N1260" s="354"/>
      <c r="O1260" s="354"/>
      <c r="P1260" s="354"/>
      <c r="Q1260" s="354"/>
      <c r="R1260" s="354"/>
      <c r="S1260" s="354"/>
      <c r="T1260" s="354"/>
      <c r="U1260" s="354"/>
      <c r="V1260" s="354"/>
      <c r="W1260" s="354"/>
      <c r="X1260" s="354"/>
      <c r="Y1260" s="354"/>
      <c r="Z1260" s="354"/>
      <c r="AA1260" s="354"/>
      <c r="AB1260" s="354"/>
      <c r="AC1260" s="354"/>
      <c r="AD1260" s="354"/>
      <c r="AE1260" s="354"/>
      <c r="AF1260" s="354"/>
      <c r="AG1260" s="354"/>
      <c r="AH1260" s="354"/>
      <c r="AI1260" s="354"/>
      <c r="AJ1260" s="354"/>
      <c r="AK1260" s="354"/>
      <c r="AL1260" s="354"/>
      <c r="AM1260" s="354"/>
      <c r="AN1260" s="354"/>
      <c r="AO1260" s="354"/>
      <c r="AP1260" s="354"/>
      <c r="AQ1260" s="354"/>
      <c r="AR1260" s="354"/>
      <c r="AS1260" s="354"/>
      <c r="AT1260" s="354"/>
      <c r="AU1260" s="354"/>
      <c r="AV1260" s="354"/>
      <c r="AW1260" s="354"/>
    </row>
    <row r="1261" spans="1:49">
      <c r="A1261" s="354"/>
      <c r="B1261" s="354"/>
      <c r="C1261" s="354"/>
      <c r="D1261" s="354"/>
      <c r="E1261" s="354"/>
      <c r="F1261" s="354"/>
      <c r="G1261" s="354"/>
      <c r="H1261" s="354"/>
      <c r="I1261" s="354"/>
      <c r="J1261" s="354"/>
      <c r="K1261" s="354"/>
      <c r="L1261" s="354"/>
      <c r="M1261" s="354"/>
      <c r="N1261" s="354"/>
      <c r="O1261" s="354"/>
      <c r="P1261" s="354"/>
      <c r="Q1261" s="354"/>
      <c r="R1261" s="354"/>
      <c r="S1261" s="354"/>
      <c r="T1261" s="354"/>
      <c r="U1261" s="354"/>
      <c r="V1261" s="354"/>
      <c r="W1261" s="354"/>
      <c r="X1261" s="354"/>
      <c r="Y1261" s="354"/>
      <c r="Z1261" s="354"/>
      <c r="AA1261" s="354"/>
      <c r="AB1261" s="354"/>
      <c r="AC1261" s="354"/>
      <c r="AD1261" s="354"/>
      <c r="AE1261" s="354"/>
      <c r="AF1261" s="354"/>
      <c r="AG1261" s="354"/>
      <c r="AH1261" s="354"/>
      <c r="AI1261" s="354"/>
      <c r="AJ1261" s="354"/>
      <c r="AK1261" s="354"/>
      <c r="AL1261" s="354"/>
      <c r="AM1261" s="354"/>
      <c r="AN1261" s="354"/>
      <c r="AO1261" s="354"/>
      <c r="AP1261" s="354"/>
      <c r="AQ1261" s="354"/>
      <c r="AR1261" s="354"/>
      <c r="AS1261" s="354"/>
      <c r="AT1261" s="354"/>
      <c r="AU1261" s="354"/>
      <c r="AV1261" s="354"/>
      <c r="AW1261" s="354"/>
    </row>
    <row r="1262" spans="1:49">
      <c r="A1262" s="354"/>
      <c r="B1262" s="354"/>
      <c r="C1262" s="354"/>
      <c r="D1262" s="354"/>
      <c r="E1262" s="354"/>
      <c r="F1262" s="354"/>
      <c r="G1262" s="354"/>
      <c r="H1262" s="354"/>
      <c r="I1262" s="354"/>
      <c r="J1262" s="354"/>
      <c r="K1262" s="354"/>
      <c r="L1262" s="354"/>
      <c r="M1262" s="354"/>
      <c r="N1262" s="354"/>
      <c r="O1262" s="354"/>
      <c r="P1262" s="354"/>
      <c r="Q1262" s="354"/>
      <c r="R1262" s="354"/>
      <c r="S1262" s="354"/>
      <c r="T1262" s="354"/>
      <c r="U1262" s="354"/>
      <c r="V1262" s="354"/>
      <c r="W1262" s="354"/>
      <c r="X1262" s="354"/>
      <c r="Y1262" s="354"/>
      <c r="Z1262" s="354"/>
      <c r="AA1262" s="354"/>
      <c r="AB1262" s="354"/>
      <c r="AC1262" s="354"/>
      <c r="AD1262" s="354"/>
      <c r="AE1262" s="354"/>
      <c r="AF1262" s="354"/>
      <c r="AG1262" s="354"/>
      <c r="AH1262" s="354"/>
      <c r="AI1262" s="354"/>
      <c r="AJ1262" s="354"/>
      <c r="AK1262" s="354"/>
      <c r="AL1262" s="354"/>
      <c r="AM1262" s="354"/>
      <c r="AN1262" s="354"/>
      <c r="AO1262" s="354"/>
      <c r="AP1262" s="354"/>
      <c r="AQ1262" s="354"/>
      <c r="AR1262" s="354"/>
      <c r="AS1262" s="354"/>
      <c r="AT1262" s="354"/>
      <c r="AU1262" s="354"/>
      <c r="AV1262" s="354"/>
      <c r="AW1262" s="354"/>
    </row>
    <row r="1263" spans="1:49">
      <c r="A1263" s="354"/>
      <c r="B1263" s="354"/>
      <c r="C1263" s="354"/>
      <c r="D1263" s="354"/>
      <c r="E1263" s="354"/>
      <c r="F1263" s="354"/>
      <c r="G1263" s="354"/>
      <c r="H1263" s="354"/>
      <c r="I1263" s="354"/>
      <c r="J1263" s="354"/>
      <c r="K1263" s="354"/>
      <c r="L1263" s="354"/>
      <c r="M1263" s="354"/>
      <c r="N1263" s="354"/>
      <c r="O1263" s="354"/>
      <c r="P1263" s="354"/>
      <c r="Q1263" s="354"/>
      <c r="R1263" s="354"/>
      <c r="S1263" s="354"/>
      <c r="T1263" s="354"/>
      <c r="U1263" s="354"/>
      <c r="V1263" s="354"/>
      <c r="W1263" s="354"/>
      <c r="X1263" s="354"/>
      <c r="Y1263" s="354"/>
      <c r="Z1263" s="354"/>
      <c r="AA1263" s="354"/>
      <c r="AB1263" s="354"/>
      <c r="AC1263" s="354"/>
      <c r="AD1263" s="354"/>
      <c r="AE1263" s="354"/>
      <c r="AF1263" s="354"/>
      <c r="AG1263" s="354"/>
      <c r="AH1263" s="354"/>
      <c r="AI1263" s="354"/>
      <c r="AJ1263" s="354"/>
      <c r="AK1263" s="354"/>
      <c r="AL1263" s="354"/>
      <c r="AM1263" s="354"/>
      <c r="AN1263" s="354"/>
      <c r="AO1263" s="354"/>
      <c r="AP1263" s="354"/>
      <c r="AQ1263" s="354"/>
      <c r="AR1263" s="354"/>
      <c r="AS1263" s="354"/>
      <c r="AT1263" s="354"/>
      <c r="AU1263" s="354"/>
      <c r="AV1263" s="354"/>
      <c r="AW1263" s="354"/>
    </row>
    <row r="1264" spans="1:49">
      <c r="A1264" s="354"/>
      <c r="B1264" s="354"/>
      <c r="C1264" s="354"/>
      <c r="D1264" s="354"/>
      <c r="E1264" s="354"/>
      <c r="F1264" s="354"/>
      <c r="G1264" s="354"/>
      <c r="H1264" s="354"/>
      <c r="I1264" s="354"/>
      <c r="J1264" s="354"/>
      <c r="K1264" s="354"/>
      <c r="L1264" s="354"/>
      <c r="M1264" s="354"/>
      <c r="N1264" s="354"/>
      <c r="O1264" s="354"/>
      <c r="P1264" s="354"/>
      <c r="Q1264" s="354"/>
      <c r="R1264" s="354"/>
      <c r="S1264" s="354"/>
      <c r="T1264" s="354"/>
      <c r="U1264" s="354"/>
      <c r="V1264" s="354"/>
      <c r="W1264" s="354"/>
      <c r="X1264" s="354"/>
      <c r="Y1264" s="354"/>
      <c r="Z1264" s="354"/>
      <c r="AA1264" s="354"/>
      <c r="AB1264" s="354"/>
      <c r="AC1264" s="354"/>
      <c r="AD1264" s="354"/>
      <c r="AE1264" s="354"/>
      <c r="AF1264" s="354"/>
      <c r="AG1264" s="354"/>
      <c r="AH1264" s="354"/>
      <c r="AI1264" s="354"/>
      <c r="AJ1264" s="354"/>
      <c r="AK1264" s="354"/>
      <c r="AL1264" s="354"/>
      <c r="AM1264" s="354"/>
      <c r="AN1264" s="354"/>
      <c r="AO1264" s="354"/>
      <c r="AP1264" s="354"/>
      <c r="AQ1264" s="354"/>
      <c r="AR1264" s="354"/>
      <c r="AS1264" s="354"/>
      <c r="AT1264" s="354"/>
      <c r="AU1264" s="354"/>
      <c r="AV1264" s="354"/>
      <c r="AW1264" s="354"/>
    </row>
    <row r="1265" spans="1:49">
      <c r="A1265" s="354"/>
      <c r="B1265" s="354"/>
      <c r="C1265" s="354"/>
      <c r="D1265" s="354"/>
      <c r="E1265" s="354"/>
      <c r="F1265" s="354"/>
      <c r="G1265" s="354"/>
      <c r="H1265" s="354"/>
      <c r="I1265" s="354"/>
      <c r="J1265" s="354"/>
      <c r="K1265" s="354"/>
      <c r="L1265" s="354"/>
      <c r="M1265" s="354"/>
      <c r="N1265" s="354"/>
      <c r="O1265" s="354"/>
      <c r="P1265" s="354"/>
      <c r="Q1265" s="354"/>
      <c r="R1265" s="354"/>
      <c r="S1265" s="354"/>
      <c r="T1265" s="354"/>
      <c r="U1265" s="354"/>
      <c r="V1265" s="354"/>
      <c r="W1265" s="354"/>
      <c r="X1265" s="354"/>
      <c r="Y1265" s="354"/>
      <c r="Z1265" s="354"/>
      <c r="AA1265" s="354"/>
      <c r="AB1265" s="354"/>
      <c r="AC1265" s="354"/>
      <c r="AD1265" s="354"/>
      <c r="AE1265" s="354"/>
      <c r="AF1265" s="354"/>
      <c r="AG1265" s="354"/>
      <c r="AH1265" s="354"/>
      <c r="AI1265" s="354"/>
      <c r="AJ1265" s="354"/>
      <c r="AK1265" s="354"/>
      <c r="AL1265" s="354"/>
      <c r="AM1265" s="354"/>
      <c r="AN1265" s="354"/>
      <c r="AO1265" s="354"/>
      <c r="AP1265" s="354"/>
      <c r="AQ1265" s="354"/>
      <c r="AR1265" s="354"/>
      <c r="AS1265" s="354"/>
      <c r="AT1265" s="354"/>
      <c r="AU1265" s="354"/>
      <c r="AV1265" s="354"/>
      <c r="AW1265" s="354"/>
    </row>
    <row r="1266" spans="1:49">
      <c r="A1266" s="354"/>
      <c r="B1266" s="354"/>
      <c r="C1266" s="354"/>
      <c r="D1266" s="354"/>
      <c r="E1266" s="354"/>
      <c r="F1266" s="354"/>
      <c r="G1266" s="354"/>
      <c r="H1266" s="354"/>
      <c r="I1266" s="354"/>
      <c r="J1266" s="354"/>
      <c r="K1266" s="354"/>
      <c r="L1266" s="354"/>
      <c r="M1266" s="354"/>
      <c r="N1266" s="354"/>
      <c r="O1266" s="354"/>
      <c r="P1266" s="354"/>
      <c r="Q1266" s="354"/>
      <c r="R1266" s="354"/>
      <c r="S1266" s="354"/>
      <c r="T1266" s="354"/>
      <c r="U1266" s="354"/>
      <c r="V1266" s="354"/>
      <c r="W1266" s="354"/>
      <c r="X1266" s="354"/>
      <c r="Y1266" s="354"/>
      <c r="Z1266" s="354"/>
      <c r="AA1266" s="354"/>
      <c r="AB1266" s="354"/>
      <c r="AC1266" s="354"/>
      <c r="AD1266" s="354"/>
      <c r="AE1266" s="354"/>
      <c r="AF1266" s="354"/>
      <c r="AG1266" s="354"/>
      <c r="AH1266" s="354"/>
      <c r="AI1266" s="354"/>
      <c r="AJ1266" s="354"/>
      <c r="AK1266" s="354"/>
      <c r="AL1266" s="354"/>
      <c r="AM1266" s="354"/>
      <c r="AN1266" s="354"/>
      <c r="AO1266" s="354"/>
      <c r="AP1266" s="354"/>
      <c r="AQ1266" s="354"/>
      <c r="AR1266" s="354"/>
      <c r="AS1266" s="354"/>
      <c r="AT1266" s="354"/>
      <c r="AU1266" s="354"/>
      <c r="AV1266" s="354"/>
      <c r="AW1266" s="354"/>
    </row>
    <row r="1267" spans="1:49">
      <c r="A1267" s="354"/>
      <c r="B1267" s="354"/>
      <c r="C1267" s="354"/>
      <c r="D1267" s="354"/>
      <c r="E1267" s="354"/>
      <c r="F1267" s="354"/>
      <c r="G1267" s="354"/>
      <c r="H1267" s="354"/>
      <c r="I1267" s="354"/>
      <c r="J1267" s="354"/>
      <c r="K1267" s="354"/>
      <c r="L1267" s="354"/>
      <c r="M1267" s="354"/>
      <c r="N1267" s="354"/>
      <c r="O1267" s="354"/>
      <c r="P1267" s="354"/>
      <c r="Q1267" s="354"/>
      <c r="R1267" s="354"/>
      <c r="S1267" s="354"/>
      <c r="T1267" s="354"/>
      <c r="U1267" s="354"/>
      <c r="V1267" s="354"/>
      <c r="W1267" s="354"/>
      <c r="X1267" s="354"/>
      <c r="Y1267" s="354"/>
      <c r="Z1267" s="354"/>
      <c r="AA1267" s="354"/>
      <c r="AB1267" s="354"/>
      <c r="AC1267" s="354"/>
      <c r="AD1267" s="354"/>
      <c r="AE1267" s="354"/>
      <c r="AF1267" s="354"/>
      <c r="AG1267" s="354"/>
      <c r="AH1267" s="354"/>
      <c r="AI1267" s="354"/>
      <c r="AJ1267" s="354"/>
      <c r="AK1267" s="354"/>
      <c r="AL1267" s="354"/>
      <c r="AM1267" s="354"/>
      <c r="AN1267" s="354"/>
      <c r="AO1267" s="354"/>
      <c r="AP1267" s="354"/>
      <c r="AQ1267" s="354"/>
      <c r="AR1267" s="354"/>
      <c r="AS1267" s="354"/>
      <c r="AT1267" s="354"/>
      <c r="AU1267" s="354"/>
      <c r="AV1267" s="354"/>
      <c r="AW1267" s="354"/>
    </row>
    <row r="1268" spans="1:49">
      <c r="A1268" s="354"/>
      <c r="B1268" s="354"/>
      <c r="C1268" s="354"/>
      <c r="D1268" s="354"/>
      <c r="E1268" s="354"/>
      <c r="F1268" s="354"/>
      <c r="G1268" s="354"/>
      <c r="H1268" s="354"/>
      <c r="I1268" s="354"/>
      <c r="J1268" s="354"/>
      <c r="K1268" s="354"/>
      <c r="L1268" s="354"/>
      <c r="M1268" s="354"/>
      <c r="N1268" s="354"/>
      <c r="O1268" s="354"/>
      <c r="P1268" s="354"/>
      <c r="Q1268" s="354"/>
      <c r="R1268" s="354"/>
      <c r="S1268" s="354"/>
      <c r="T1268" s="354"/>
      <c r="U1268" s="354"/>
      <c r="V1268" s="354"/>
      <c r="W1268" s="354"/>
      <c r="X1268" s="354"/>
      <c r="Y1268" s="354"/>
      <c r="Z1268" s="354"/>
      <c r="AA1268" s="354"/>
      <c r="AB1268" s="354"/>
      <c r="AC1268" s="354"/>
      <c r="AD1268" s="354"/>
      <c r="AE1268" s="354"/>
      <c r="AF1268" s="354"/>
      <c r="AG1268" s="354"/>
      <c r="AH1268" s="354"/>
      <c r="AI1268" s="354"/>
      <c r="AJ1268" s="354"/>
      <c r="AK1268" s="354"/>
      <c r="AL1268" s="354"/>
      <c r="AM1268" s="354"/>
      <c r="AN1268" s="354"/>
      <c r="AO1268" s="354"/>
      <c r="AP1268" s="354"/>
      <c r="AQ1268" s="354"/>
      <c r="AR1268" s="354"/>
      <c r="AS1268" s="354"/>
      <c r="AT1268" s="354"/>
      <c r="AU1268" s="354"/>
      <c r="AV1268" s="354"/>
      <c r="AW1268" s="354"/>
    </row>
    <row r="1269" spans="1:49">
      <c r="A1269" s="354"/>
      <c r="B1269" s="354"/>
      <c r="C1269" s="354"/>
      <c r="D1269" s="354"/>
      <c r="E1269" s="354"/>
      <c r="F1269" s="354"/>
      <c r="G1269" s="354"/>
      <c r="H1269" s="354"/>
      <c r="I1269" s="354"/>
      <c r="J1269" s="354"/>
      <c r="K1269" s="354"/>
      <c r="L1269" s="354"/>
      <c r="M1269" s="354"/>
      <c r="N1269" s="354"/>
      <c r="O1269" s="354"/>
      <c r="P1269" s="354"/>
      <c r="Q1269" s="354"/>
      <c r="R1269" s="354"/>
      <c r="S1269" s="354"/>
      <c r="T1269" s="354"/>
      <c r="U1269" s="354"/>
      <c r="V1269" s="354"/>
      <c r="W1269" s="354"/>
      <c r="X1269" s="354"/>
      <c r="Y1269" s="354"/>
      <c r="Z1269" s="354"/>
      <c r="AA1269" s="354"/>
      <c r="AB1269" s="354"/>
      <c r="AC1269" s="354"/>
      <c r="AD1269" s="354"/>
      <c r="AE1269" s="354"/>
      <c r="AF1269" s="354"/>
      <c r="AG1269" s="354"/>
      <c r="AH1269" s="354"/>
      <c r="AI1269" s="354"/>
      <c r="AJ1269" s="354"/>
      <c r="AK1269" s="354"/>
      <c r="AL1269" s="354"/>
      <c r="AM1269" s="354"/>
      <c r="AN1269" s="354"/>
      <c r="AO1269" s="354"/>
      <c r="AP1269" s="354"/>
      <c r="AQ1269" s="354"/>
      <c r="AR1269" s="354"/>
      <c r="AS1269" s="354"/>
      <c r="AT1269" s="354"/>
      <c r="AU1269" s="354"/>
      <c r="AV1269" s="354"/>
      <c r="AW1269" s="354"/>
    </row>
    <row r="1270" spans="1:49">
      <c r="A1270" s="354"/>
      <c r="B1270" s="354"/>
      <c r="C1270" s="354"/>
      <c r="D1270" s="354"/>
      <c r="E1270" s="354"/>
      <c r="F1270" s="354"/>
      <c r="G1270" s="354"/>
      <c r="H1270" s="354"/>
      <c r="I1270" s="354"/>
      <c r="J1270" s="354"/>
      <c r="K1270" s="354"/>
      <c r="L1270" s="354"/>
      <c r="M1270" s="354"/>
      <c r="N1270" s="354"/>
      <c r="O1270" s="354"/>
      <c r="P1270" s="354"/>
      <c r="Q1270" s="354"/>
      <c r="R1270" s="354"/>
      <c r="S1270" s="354"/>
      <c r="T1270" s="354"/>
      <c r="U1270" s="354"/>
      <c r="V1270" s="354"/>
      <c r="W1270" s="354"/>
      <c r="X1270" s="354"/>
      <c r="Y1270" s="354"/>
      <c r="Z1270" s="354"/>
      <c r="AA1270" s="354"/>
      <c r="AB1270" s="354"/>
      <c r="AC1270" s="354"/>
      <c r="AD1270" s="354"/>
      <c r="AE1270" s="354"/>
      <c r="AF1270" s="354"/>
      <c r="AG1270" s="354"/>
      <c r="AH1270" s="354"/>
      <c r="AI1270" s="354"/>
      <c r="AJ1270" s="354"/>
      <c r="AK1270" s="354"/>
      <c r="AL1270" s="354"/>
      <c r="AM1270" s="354"/>
      <c r="AN1270" s="354"/>
      <c r="AO1270" s="354"/>
      <c r="AP1270" s="354"/>
      <c r="AQ1270" s="354"/>
      <c r="AR1270" s="354"/>
      <c r="AS1270" s="354"/>
      <c r="AT1270" s="354"/>
      <c r="AU1270" s="354"/>
      <c r="AV1270" s="354"/>
      <c r="AW1270" s="354"/>
    </row>
    <row r="1271" spans="1:49">
      <c r="A1271" s="354"/>
      <c r="B1271" s="354"/>
      <c r="C1271" s="354"/>
      <c r="D1271" s="354"/>
      <c r="E1271" s="354"/>
      <c r="F1271" s="354"/>
      <c r="G1271" s="354"/>
      <c r="H1271" s="354"/>
      <c r="I1271" s="354"/>
      <c r="J1271" s="354"/>
      <c r="K1271" s="354"/>
      <c r="L1271" s="354"/>
      <c r="M1271" s="354"/>
      <c r="N1271" s="354"/>
      <c r="O1271" s="354"/>
      <c r="P1271" s="354"/>
      <c r="Q1271" s="354"/>
      <c r="R1271" s="354"/>
      <c r="S1271" s="354"/>
      <c r="T1271" s="354"/>
      <c r="U1271" s="354"/>
      <c r="V1271" s="354"/>
      <c r="W1271" s="354"/>
      <c r="X1271" s="354"/>
      <c r="Y1271" s="354"/>
      <c r="Z1271" s="354"/>
      <c r="AA1271" s="354"/>
      <c r="AB1271" s="354"/>
      <c r="AC1271" s="354"/>
      <c r="AD1271" s="354"/>
      <c r="AE1271" s="354"/>
      <c r="AF1271" s="354"/>
      <c r="AG1271" s="354"/>
      <c r="AH1271" s="354"/>
      <c r="AI1271" s="354"/>
      <c r="AJ1271" s="354"/>
      <c r="AK1271" s="354"/>
      <c r="AL1271" s="354"/>
      <c r="AM1271" s="354"/>
      <c r="AN1271" s="354"/>
      <c r="AO1271" s="354"/>
      <c r="AP1271" s="354"/>
      <c r="AQ1271" s="354"/>
      <c r="AR1271" s="354"/>
      <c r="AS1271" s="354"/>
      <c r="AT1271" s="354"/>
      <c r="AU1271" s="354"/>
      <c r="AV1271" s="354"/>
      <c r="AW1271" s="354"/>
    </row>
    <row r="1272" spans="1:49">
      <c r="A1272" s="354"/>
      <c r="B1272" s="354"/>
      <c r="C1272" s="354"/>
      <c r="D1272" s="354"/>
      <c r="E1272" s="354"/>
      <c r="F1272" s="354"/>
      <c r="G1272" s="354"/>
      <c r="H1272" s="354"/>
      <c r="I1272" s="354"/>
      <c r="J1272" s="354"/>
      <c r="K1272" s="354"/>
      <c r="L1272" s="354"/>
      <c r="M1272" s="354"/>
      <c r="N1272" s="354"/>
      <c r="O1272" s="354"/>
      <c r="P1272" s="354"/>
      <c r="Q1272" s="354"/>
      <c r="R1272" s="354"/>
      <c r="S1272" s="354"/>
      <c r="T1272" s="354"/>
      <c r="U1272" s="354"/>
      <c r="V1272" s="354"/>
      <c r="W1272" s="354"/>
      <c r="X1272" s="354"/>
      <c r="Y1272" s="354"/>
      <c r="Z1272" s="354"/>
      <c r="AA1272" s="354"/>
      <c r="AB1272" s="354"/>
      <c r="AC1272" s="354"/>
      <c r="AD1272" s="354"/>
      <c r="AE1272" s="354"/>
      <c r="AF1272" s="354"/>
      <c r="AG1272" s="354"/>
      <c r="AH1272" s="354"/>
      <c r="AI1272" s="354"/>
      <c r="AJ1272" s="354"/>
      <c r="AK1272" s="354"/>
      <c r="AL1272" s="354"/>
      <c r="AM1272" s="354"/>
      <c r="AN1272" s="354"/>
      <c r="AO1272" s="354"/>
      <c r="AP1272" s="354"/>
      <c r="AQ1272" s="354"/>
      <c r="AR1272" s="354"/>
      <c r="AS1272" s="354"/>
      <c r="AT1272" s="354"/>
      <c r="AU1272" s="354"/>
      <c r="AV1272" s="354"/>
      <c r="AW1272" s="354"/>
    </row>
    <row r="1273" spans="1:49">
      <c r="A1273" s="354"/>
      <c r="B1273" s="354"/>
      <c r="C1273" s="354"/>
      <c r="D1273" s="354"/>
      <c r="E1273" s="354"/>
      <c r="F1273" s="354"/>
      <c r="G1273" s="354"/>
      <c r="H1273" s="354"/>
      <c r="I1273" s="354"/>
      <c r="J1273" s="354"/>
      <c r="K1273" s="354"/>
      <c r="L1273" s="354"/>
      <c r="M1273" s="354"/>
      <c r="N1273" s="354"/>
      <c r="O1273" s="354"/>
      <c r="P1273" s="354"/>
      <c r="Q1273" s="354"/>
      <c r="R1273" s="354"/>
      <c r="S1273" s="354"/>
      <c r="T1273" s="354"/>
      <c r="U1273" s="354"/>
      <c r="V1273" s="354"/>
      <c r="W1273" s="354"/>
      <c r="X1273" s="354"/>
      <c r="Y1273" s="354"/>
      <c r="Z1273" s="354"/>
      <c r="AA1273" s="354"/>
      <c r="AB1273" s="354"/>
      <c r="AC1273" s="354"/>
      <c r="AD1273" s="354"/>
      <c r="AE1273" s="354"/>
      <c r="AF1273" s="354"/>
      <c r="AG1273" s="354"/>
      <c r="AH1273" s="354"/>
      <c r="AI1273" s="354"/>
      <c r="AJ1273" s="354"/>
      <c r="AK1273" s="354"/>
      <c r="AL1273" s="354"/>
      <c r="AM1273" s="354"/>
      <c r="AN1273" s="354"/>
      <c r="AO1273" s="354"/>
      <c r="AP1273" s="354"/>
      <c r="AQ1273" s="354"/>
      <c r="AR1273" s="354"/>
      <c r="AS1273" s="354"/>
      <c r="AT1273" s="354"/>
      <c r="AU1273" s="354"/>
      <c r="AV1273" s="354"/>
      <c r="AW1273" s="354"/>
    </row>
    <row r="1274" spans="1:49">
      <c r="A1274" s="354"/>
      <c r="B1274" s="354"/>
      <c r="C1274" s="354"/>
      <c r="D1274" s="354"/>
      <c r="E1274" s="354"/>
      <c r="F1274" s="354"/>
      <c r="G1274" s="354"/>
      <c r="H1274" s="354"/>
      <c r="I1274" s="354"/>
      <c r="J1274" s="354"/>
      <c r="K1274" s="354"/>
      <c r="L1274" s="354"/>
      <c r="M1274" s="354"/>
      <c r="N1274" s="354"/>
      <c r="O1274" s="354"/>
      <c r="P1274" s="354"/>
      <c r="Q1274" s="354"/>
      <c r="R1274" s="354"/>
      <c r="S1274" s="354"/>
      <c r="T1274" s="354"/>
      <c r="U1274" s="354"/>
      <c r="V1274" s="354"/>
      <c r="W1274" s="354"/>
      <c r="X1274" s="354"/>
      <c r="Y1274" s="354"/>
      <c r="Z1274" s="354"/>
      <c r="AA1274" s="354"/>
      <c r="AB1274" s="354"/>
      <c r="AC1274" s="354"/>
      <c r="AD1274" s="354"/>
      <c r="AE1274" s="354"/>
      <c r="AF1274" s="354"/>
      <c r="AG1274" s="354"/>
      <c r="AH1274" s="354"/>
      <c r="AI1274" s="354"/>
      <c r="AJ1274" s="354"/>
      <c r="AK1274" s="354"/>
      <c r="AL1274" s="354"/>
      <c r="AM1274" s="354"/>
      <c r="AN1274" s="354"/>
      <c r="AO1274" s="354"/>
      <c r="AP1274" s="354"/>
      <c r="AQ1274" s="354"/>
      <c r="AR1274" s="354"/>
      <c r="AS1274" s="354"/>
      <c r="AT1274" s="354"/>
      <c r="AU1274" s="354"/>
      <c r="AV1274" s="354"/>
      <c r="AW1274" s="354"/>
    </row>
    <row r="1275" spans="1:49">
      <c r="A1275" s="354"/>
      <c r="B1275" s="354"/>
      <c r="C1275" s="354"/>
      <c r="D1275" s="354"/>
      <c r="E1275" s="354"/>
      <c r="F1275" s="354"/>
      <c r="G1275" s="354"/>
      <c r="H1275" s="354"/>
      <c r="I1275" s="354"/>
      <c r="J1275" s="354"/>
      <c r="K1275" s="354"/>
      <c r="L1275" s="354"/>
      <c r="M1275" s="354"/>
      <c r="N1275" s="354"/>
      <c r="O1275" s="354"/>
      <c r="P1275" s="354"/>
      <c r="Q1275" s="354"/>
      <c r="R1275" s="354"/>
      <c r="S1275" s="354"/>
      <c r="T1275" s="354"/>
      <c r="U1275" s="354"/>
      <c r="V1275" s="354"/>
      <c r="W1275" s="354"/>
      <c r="X1275" s="354"/>
      <c r="Y1275" s="354"/>
      <c r="Z1275" s="354"/>
      <c r="AA1275" s="354"/>
      <c r="AB1275" s="354"/>
      <c r="AC1275" s="354"/>
      <c r="AD1275" s="354"/>
      <c r="AE1275" s="354"/>
      <c r="AF1275" s="354"/>
      <c r="AG1275" s="354"/>
      <c r="AH1275" s="354"/>
      <c r="AI1275" s="354"/>
      <c r="AJ1275" s="354"/>
      <c r="AK1275" s="354"/>
      <c r="AL1275" s="354"/>
      <c r="AM1275" s="354"/>
      <c r="AN1275" s="354"/>
      <c r="AO1275" s="354"/>
      <c r="AP1275" s="354"/>
      <c r="AQ1275" s="354"/>
      <c r="AR1275" s="354"/>
      <c r="AS1275" s="354"/>
      <c r="AT1275" s="354"/>
      <c r="AU1275" s="354"/>
      <c r="AV1275" s="354"/>
      <c r="AW1275" s="354"/>
    </row>
    <row r="1276" spans="1:49">
      <c r="A1276" s="354"/>
      <c r="B1276" s="354"/>
      <c r="C1276" s="354"/>
      <c r="D1276" s="354"/>
      <c r="E1276" s="354"/>
      <c r="F1276" s="354"/>
      <c r="G1276" s="354"/>
      <c r="H1276" s="354"/>
      <c r="I1276" s="354"/>
      <c r="J1276" s="354"/>
      <c r="K1276" s="354"/>
      <c r="L1276" s="354"/>
      <c r="M1276" s="354"/>
      <c r="N1276" s="354"/>
      <c r="O1276" s="354"/>
      <c r="P1276" s="354"/>
      <c r="Q1276" s="354"/>
      <c r="R1276" s="354"/>
      <c r="S1276" s="354"/>
      <c r="T1276" s="354"/>
      <c r="U1276" s="354"/>
      <c r="V1276" s="354"/>
      <c r="W1276" s="354"/>
      <c r="X1276" s="354"/>
      <c r="Y1276" s="354"/>
      <c r="Z1276" s="354"/>
      <c r="AA1276" s="354"/>
      <c r="AB1276" s="354"/>
      <c r="AC1276" s="354"/>
      <c r="AD1276" s="354"/>
      <c r="AE1276" s="354"/>
      <c r="AF1276" s="354"/>
      <c r="AG1276" s="354"/>
      <c r="AH1276" s="354"/>
      <c r="AI1276" s="354"/>
      <c r="AJ1276" s="354"/>
      <c r="AK1276" s="354"/>
      <c r="AL1276" s="354"/>
      <c r="AM1276" s="354"/>
      <c r="AN1276" s="354"/>
      <c r="AO1276" s="354"/>
      <c r="AP1276" s="354"/>
      <c r="AQ1276" s="354"/>
      <c r="AR1276" s="354"/>
      <c r="AS1276" s="354"/>
      <c r="AT1276" s="354"/>
      <c r="AU1276" s="354"/>
      <c r="AV1276" s="354"/>
      <c r="AW1276" s="354"/>
    </row>
    <row r="1277" spans="1:49">
      <c r="A1277" s="354"/>
      <c r="B1277" s="354"/>
      <c r="C1277" s="354"/>
      <c r="D1277" s="354"/>
      <c r="E1277" s="354"/>
      <c r="F1277" s="354"/>
      <c r="G1277" s="354"/>
      <c r="H1277" s="354"/>
      <c r="I1277" s="354"/>
      <c r="J1277" s="354"/>
      <c r="K1277" s="354"/>
      <c r="L1277" s="354"/>
      <c r="M1277" s="354"/>
      <c r="N1277" s="354"/>
      <c r="O1277" s="354"/>
      <c r="P1277" s="354"/>
      <c r="Q1277" s="354"/>
      <c r="R1277" s="354"/>
      <c r="S1277" s="354"/>
      <c r="T1277" s="354"/>
      <c r="U1277" s="354"/>
      <c r="V1277" s="354"/>
      <c r="W1277" s="354"/>
      <c r="X1277" s="354"/>
      <c r="Y1277" s="354"/>
      <c r="Z1277" s="354"/>
      <c r="AA1277" s="354"/>
      <c r="AB1277" s="354"/>
      <c r="AC1277" s="354"/>
      <c r="AD1277" s="354"/>
      <c r="AE1277" s="354"/>
      <c r="AF1277" s="354"/>
      <c r="AG1277" s="354"/>
      <c r="AH1277" s="354"/>
      <c r="AI1277" s="354"/>
      <c r="AJ1277" s="354"/>
      <c r="AK1277" s="354"/>
      <c r="AL1277" s="354"/>
      <c r="AM1277" s="354"/>
      <c r="AN1277" s="354"/>
      <c r="AO1277" s="354"/>
      <c r="AP1277" s="354"/>
      <c r="AQ1277" s="354"/>
      <c r="AR1277" s="354"/>
      <c r="AS1277" s="354"/>
      <c r="AT1277" s="354"/>
      <c r="AU1277" s="354"/>
      <c r="AV1277" s="354"/>
      <c r="AW1277" s="354"/>
    </row>
    <row r="1278" spans="1:49">
      <c r="A1278" s="354"/>
      <c r="B1278" s="354"/>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Y1278" s="354"/>
      <c r="Z1278" s="354"/>
      <c r="AA1278" s="354"/>
      <c r="AB1278" s="354"/>
      <c r="AC1278" s="354"/>
      <c r="AD1278" s="354"/>
      <c r="AE1278" s="354"/>
      <c r="AF1278" s="354"/>
      <c r="AG1278" s="354"/>
      <c r="AH1278" s="354"/>
      <c r="AI1278" s="354"/>
      <c r="AJ1278" s="354"/>
      <c r="AK1278" s="354"/>
      <c r="AL1278" s="354"/>
      <c r="AM1278" s="354"/>
      <c r="AN1278" s="354"/>
      <c r="AO1278" s="354"/>
      <c r="AP1278" s="354"/>
      <c r="AQ1278" s="354"/>
      <c r="AR1278" s="354"/>
      <c r="AS1278" s="354"/>
      <c r="AT1278" s="354"/>
      <c r="AU1278" s="354"/>
      <c r="AV1278" s="354"/>
      <c r="AW1278" s="354"/>
    </row>
    <row r="1279" spans="1:49">
      <c r="A1279" s="354"/>
      <c r="B1279" s="354"/>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Y1279" s="354"/>
      <c r="Z1279" s="354"/>
      <c r="AA1279" s="354"/>
      <c r="AB1279" s="354"/>
      <c r="AC1279" s="354"/>
      <c r="AD1279" s="354"/>
      <c r="AE1279" s="354"/>
      <c r="AF1279" s="354"/>
      <c r="AG1279" s="354"/>
      <c r="AH1279" s="354"/>
      <c r="AI1279" s="354"/>
      <c r="AJ1279" s="354"/>
      <c r="AK1279" s="354"/>
      <c r="AL1279" s="354"/>
      <c r="AM1279" s="354"/>
      <c r="AN1279" s="354"/>
      <c r="AO1279" s="354"/>
      <c r="AP1279" s="354"/>
      <c r="AQ1279" s="354"/>
      <c r="AR1279" s="354"/>
      <c r="AS1279" s="354"/>
      <c r="AT1279" s="354"/>
      <c r="AU1279" s="354"/>
      <c r="AV1279" s="354"/>
      <c r="AW1279" s="354"/>
    </row>
    <row r="1280" spans="1:49">
      <c r="A1280" s="354"/>
      <c r="B1280" s="354"/>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Y1280" s="354"/>
      <c r="Z1280" s="354"/>
      <c r="AA1280" s="354"/>
      <c r="AB1280" s="354"/>
      <c r="AC1280" s="354"/>
      <c r="AD1280" s="354"/>
      <c r="AE1280" s="354"/>
      <c r="AF1280" s="354"/>
      <c r="AG1280" s="354"/>
      <c r="AH1280" s="354"/>
      <c r="AI1280" s="354"/>
      <c r="AJ1280" s="354"/>
      <c r="AK1280" s="354"/>
      <c r="AL1280" s="354"/>
      <c r="AM1280" s="354"/>
      <c r="AN1280" s="354"/>
      <c r="AO1280" s="354"/>
      <c r="AP1280" s="354"/>
      <c r="AQ1280" s="354"/>
      <c r="AR1280" s="354"/>
      <c r="AS1280" s="354"/>
      <c r="AT1280" s="354"/>
      <c r="AU1280" s="354"/>
      <c r="AV1280" s="354"/>
      <c r="AW1280" s="354"/>
    </row>
    <row r="1281" spans="1:49">
      <c r="A1281" s="354"/>
      <c r="B1281" s="354"/>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Y1281" s="354"/>
      <c r="Z1281" s="354"/>
      <c r="AA1281" s="354"/>
      <c r="AB1281" s="354"/>
      <c r="AC1281" s="354"/>
      <c r="AD1281" s="354"/>
      <c r="AE1281" s="354"/>
      <c r="AF1281" s="354"/>
      <c r="AG1281" s="354"/>
      <c r="AH1281" s="354"/>
      <c r="AI1281" s="354"/>
      <c r="AJ1281" s="354"/>
      <c r="AK1281" s="354"/>
      <c r="AL1281" s="354"/>
      <c r="AM1281" s="354"/>
      <c r="AN1281" s="354"/>
      <c r="AO1281" s="354"/>
      <c r="AP1281" s="354"/>
      <c r="AQ1281" s="354"/>
      <c r="AR1281" s="354"/>
      <c r="AS1281" s="354"/>
      <c r="AT1281" s="354"/>
      <c r="AU1281" s="354"/>
      <c r="AV1281" s="354"/>
      <c r="AW1281" s="354"/>
    </row>
    <row r="1282" spans="1:49">
      <c r="A1282" s="354"/>
      <c r="B1282" s="354"/>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Y1282" s="354"/>
      <c r="Z1282" s="354"/>
      <c r="AA1282" s="354"/>
      <c r="AB1282" s="354"/>
      <c r="AC1282" s="354"/>
      <c r="AD1282" s="354"/>
      <c r="AE1282" s="354"/>
      <c r="AF1282" s="354"/>
      <c r="AG1282" s="354"/>
      <c r="AH1282" s="354"/>
      <c r="AI1282" s="354"/>
      <c r="AJ1282" s="354"/>
      <c r="AK1282" s="354"/>
      <c r="AL1282" s="354"/>
      <c r="AM1282" s="354"/>
      <c r="AN1282" s="354"/>
      <c r="AO1282" s="354"/>
      <c r="AP1282" s="354"/>
      <c r="AQ1282" s="354"/>
      <c r="AR1282" s="354"/>
      <c r="AS1282" s="354"/>
      <c r="AT1282" s="354"/>
      <c r="AU1282" s="354"/>
      <c r="AV1282" s="354"/>
      <c r="AW1282" s="354"/>
    </row>
    <row r="1283" spans="1:49">
      <c r="A1283" s="354"/>
      <c r="B1283" s="354"/>
      <c r="C1283" s="354"/>
      <c r="D1283" s="354"/>
      <c r="E1283" s="354"/>
      <c r="F1283" s="354"/>
      <c r="G1283" s="354"/>
      <c r="H1283" s="354"/>
      <c r="I1283" s="354"/>
      <c r="J1283" s="354"/>
      <c r="K1283" s="354"/>
      <c r="L1283" s="354"/>
      <c r="M1283" s="354"/>
      <c r="N1283" s="354"/>
      <c r="O1283" s="354"/>
      <c r="P1283" s="354"/>
      <c r="Q1283" s="354"/>
      <c r="R1283" s="354"/>
      <c r="S1283" s="354"/>
      <c r="T1283" s="354"/>
      <c r="U1283" s="354"/>
      <c r="V1283" s="354"/>
      <c r="W1283" s="354"/>
      <c r="X1283" s="354"/>
      <c r="Y1283" s="354"/>
      <c r="Z1283" s="354"/>
      <c r="AA1283" s="354"/>
      <c r="AB1283" s="354"/>
      <c r="AC1283" s="354"/>
      <c r="AD1283" s="354"/>
      <c r="AE1283" s="354"/>
      <c r="AF1283" s="354"/>
      <c r="AG1283" s="354"/>
      <c r="AH1283" s="354"/>
      <c r="AI1283" s="354"/>
      <c r="AJ1283" s="354"/>
      <c r="AK1283" s="354"/>
      <c r="AL1283" s="354"/>
      <c r="AM1283" s="354"/>
      <c r="AN1283" s="354"/>
      <c r="AO1283" s="354"/>
      <c r="AP1283" s="354"/>
      <c r="AQ1283" s="354"/>
      <c r="AR1283" s="354"/>
      <c r="AS1283" s="354"/>
      <c r="AT1283" s="354"/>
      <c r="AU1283" s="354"/>
      <c r="AV1283" s="354"/>
      <c r="AW1283" s="354"/>
    </row>
    <row r="1284" spans="1:49">
      <c r="A1284" s="354"/>
      <c r="B1284" s="354"/>
      <c r="C1284" s="354"/>
      <c r="D1284" s="354"/>
      <c r="E1284" s="354"/>
      <c r="F1284" s="354"/>
      <c r="G1284" s="354"/>
      <c r="H1284" s="354"/>
      <c r="I1284" s="354"/>
      <c r="J1284" s="354"/>
      <c r="K1284" s="354"/>
      <c r="L1284" s="354"/>
      <c r="M1284" s="354"/>
      <c r="N1284" s="354"/>
      <c r="O1284" s="354"/>
      <c r="P1284" s="354"/>
      <c r="Q1284" s="354"/>
      <c r="R1284" s="354"/>
      <c r="S1284" s="354"/>
      <c r="T1284" s="354"/>
      <c r="U1284" s="354"/>
      <c r="V1284" s="354"/>
      <c r="W1284" s="354"/>
      <c r="X1284" s="354"/>
      <c r="Y1284" s="354"/>
      <c r="Z1284" s="354"/>
      <c r="AA1284" s="354"/>
      <c r="AB1284" s="354"/>
      <c r="AC1284" s="354"/>
      <c r="AD1284" s="354"/>
      <c r="AE1284" s="354"/>
      <c r="AF1284" s="354"/>
      <c r="AG1284" s="354"/>
      <c r="AH1284" s="354"/>
      <c r="AI1284" s="354"/>
      <c r="AJ1284" s="354"/>
      <c r="AK1284" s="354"/>
      <c r="AL1284" s="354"/>
      <c r="AM1284" s="354"/>
      <c r="AN1284" s="354"/>
      <c r="AO1284" s="354"/>
      <c r="AP1284" s="354"/>
      <c r="AQ1284" s="354"/>
      <c r="AR1284" s="354"/>
      <c r="AS1284" s="354"/>
      <c r="AT1284" s="354"/>
      <c r="AU1284" s="354"/>
      <c r="AV1284" s="354"/>
      <c r="AW1284" s="354"/>
    </row>
    <row r="1285" spans="1:49">
      <c r="A1285" s="354"/>
      <c r="B1285" s="354"/>
      <c r="C1285" s="354"/>
      <c r="D1285" s="354"/>
      <c r="E1285" s="354"/>
      <c r="F1285" s="354"/>
      <c r="G1285" s="354"/>
      <c r="H1285" s="354"/>
      <c r="I1285" s="354"/>
      <c r="J1285" s="354"/>
      <c r="K1285" s="354"/>
      <c r="L1285" s="354"/>
      <c r="M1285" s="354"/>
      <c r="N1285" s="354"/>
      <c r="O1285" s="354"/>
      <c r="P1285" s="354"/>
      <c r="Q1285" s="354"/>
      <c r="R1285" s="354"/>
      <c r="S1285" s="354"/>
      <c r="T1285" s="354"/>
      <c r="U1285" s="354"/>
      <c r="V1285" s="354"/>
      <c r="W1285" s="354"/>
      <c r="X1285" s="354"/>
      <c r="Y1285" s="354"/>
      <c r="Z1285" s="354"/>
      <c r="AA1285" s="354"/>
      <c r="AB1285" s="354"/>
      <c r="AC1285" s="354"/>
      <c r="AD1285" s="354"/>
      <c r="AE1285" s="354"/>
      <c r="AF1285" s="354"/>
      <c r="AG1285" s="354"/>
      <c r="AH1285" s="354"/>
      <c r="AI1285" s="354"/>
      <c r="AJ1285" s="354"/>
      <c r="AK1285" s="354"/>
      <c r="AL1285" s="354"/>
      <c r="AM1285" s="354"/>
      <c r="AN1285" s="354"/>
      <c r="AO1285" s="354"/>
      <c r="AP1285" s="354"/>
      <c r="AQ1285" s="354"/>
      <c r="AR1285" s="354"/>
      <c r="AS1285" s="354"/>
      <c r="AT1285" s="354"/>
      <c r="AU1285" s="354"/>
      <c r="AV1285" s="354"/>
      <c r="AW1285" s="354"/>
    </row>
    <row r="1286" spans="1:49">
      <c r="A1286" s="354"/>
      <c r="B1286" s="354"/>
      <c r="C1286" s="354"/>
      <c r="D1286" s="354"/>
      <c r="E1286" s="354"/>
      <c r="F1286" s="354"/>
      <c r="G1286" s="354"/>
      <c r="H1286" s="354"/>
      <c r="I1286" s="354"/>
      <c r="J1286" s="354"/>
      <c r="K1286" s="354"/>
      <c r="L1286" s="354"/>
      <c r="M1286" s="354"/>
      <c r="N1286" s="354"/>
      <c r="O1286" s="354"/>
      <c r="P1286" s="354"/>
      <c r="Q1286" s="354"/>
      <c r="R1286" s="354"/>
      <c r="S1286" s="354"/>
      <c r="T1286" s="354"/>
      <c r="U1286" s="354"/>
      <c r="V1286" s="354"/>
      <c r="W1286" s="354"/>
      <c r="X1286" s="354"/>
      <c r="Y1286" s="354"/>
      <c r="Z1286" s="354"/>
      <c r="AA1286" s="354"/>
      <c r="AB1286" s="354"/>
      <c r="AC1286" s="354"/>
      <c r="AD1286" s="354"/>
      <c r="AE1286" s="354"/>
      <c r="AF1286" s="354"/>
      <c r="AG1286" s="354"/>
      <c r="AH1286" s="354"/>
      <c r="AI1286" s="354"/>
      <c r="AJ1286" s="354"/>
      <c r="AK1286" s="354"/>
      <c r="AL1286" s="354"/>
      <c r="AM1286" s="354"/>
      <c r="AN1286" s="354"/>
      <c r="AO1286" s="354"/>
      <c r="AP1286" s="354"/>
      <c r="AQ1286" s="354"/>
      <c r="AR1286" s="354"/>
      <c r="AS1286" s="354"/>
      <c r="AT1286" s="354"/>
      <c r="AU1286" s="354"/>
      <c r="AV1286" s="354"/>
      <c r="AW1286" s="354"/>
    </row>
    <row r="1287" spans="1:49">
      <c r="A1287" s="354"/>
      <c r="B1287" s="354"/>
      <c r="C1287" s="354"/>
      <c r="D1287" s="354"/>
      <c r="E1287" s="354"/>
      <c r="F1287" s="354"/>
      <c r="G1287" s="354"/>
      <c r="H1287" s="354"/>
      <c r="I1287" s="354"/>
      <c r="J1287" s="354"/>
      <c r="K1287" s="354"/>
      <c r="L1287" s="354"/>
      <c r="M1287" s="354"/>
      <c r="N1287" s="354"/>
      <c r="O1287" s="354"/>
      <c r="P1287" s="354"/>
      <c r="Q1287" s="354"/>
      <c r="R1287" s="354"/>
      <c r="S1287" s="354"/>
      <c r="T1287" s="354"/>
      <c r="U1287" s="354"/>
      <c r="V1287" s="354"/>
      <c r="W1287" s="354"/>
      <c r="X1287" s="354"/>
      <c r="Y1287" s="354"/>
      <c r="Z1287" s="354"/>
      <c r="AA1287" s="354"/>
      <c r="AB1287" s="354"/>
      <c r="AC1287" s="354"/>
      <c r="AD1287" s="354"/>
      <c r="AE1287" s="354"/>
      <c r="AF1287" s="354"/>
      <c r="AG1287" s="354"/>
      <c r="AH1287" s="354"/>
      <c r="AI1287" s="354"/>
      <c r="AJ1287" s="354"/>
      <c r="AK1287" s="354"/>
      <c r="AL1287" s="354"/>
      <c r="AM1287" s="354"/>
      <c r="AN1287" s="354"/>
      <c r="AO1287" s="354"/>
      <c r="AP1287" s="354"/>
      <c r="AQ1287" s="354"/>
      <c r="AR1287" s="354"/>
      <c r="AS1287" s="354"/>
      <c r="AT1287" s="354"/>
      <c r="AU1287" s="354"/>
      <c r="AV1287" s="354"/>
      <c r="AW1287" s="354"/>
    </row>
    <row r="1288" spans="1:49">
      <c r="A1288" s="354"/>
      <c r="B1288" s="354"/>
      <c r="C1288" s="354"/>
      <c r="D1288" s="354"/>
      <c r="E1288" s="354"/>
      <c r="F1288" s="354"/>
      <c r="G1288" s="354"/>
      <c r="H1288" s="354"/>
      <c r="I1288" s="354"/>
      <c r="J1288" s="354"/>
      <c r="K1288" s="354"/>
      <c r="L1288" s="354"/>
      <c r="M1288" s="354"/>
      <c r="N1288" s="354"/>
      <c r="O1288" s="354"/>
      <c r="P1288" s="354"/>
      <c r="Q1288" s="354"/>
      <c r="R1288" s="354"/>
      <c r="S1288" s="354"/>
      <c r="T1288" s="354"/>
      <c r="U1288" s="354"/>
      <c r="V1288" s="354"/>
      <c r="W1288" s="354"/>
      <c r="X1288" s="354"/>
      <c r="Y1288" s="354"/>
      <c r="Z1288" s="354"/>
      <c r="AA1288" s="354"/>
      <c r="AB1288" s="354"/>
      <c r="AC1288" s="354"/>
      <c r="AD1288" s="354"/>
      <c r="AE1288" s="354"/>
      <c r="AF1288" s="354"/>
      <c r="AG1288" s="354"/>
      <c r="AH1288" s="354"/>
      <c r="AI1288" s="354"/>
      <c r="AJ1288" s="354"/>
      <c r="AK1288" s="354"/>
      <c r="AL1288" s="354"/>
      <c r="AM1288" s="354"/>
      <c r="AN1288" s="354"/>
      <c r="AO1288" s="354"/>
      <c r="AP1288" s="354"/>
      <c r="AQ1288" s="354"/>
      <c r="AR1288" s="354"/>
      <c r="AS1288" s="354"/>
      <c r="AT1288" s="354"/>
      <c r="AU1288" s="354"/>
      <c r="AV1288" s="354"/>
      <c r="AW1288" s="354"/>
    </row>
    <row r="1289" spans="1:49">
      <c r="A1289" s="354"/>
      <c r="B1289" s="354"/>
      <c r="C1289" s="354"/>
      <c r="D1289" s="354"/>
      <c r="E1289" s="354"/>
      <c r="F1289" s="354"/>
      <c r="G1289" s="354"/>
      <c r="H1289" s="354"/>
      <c r="I1289" s="354"/>
      <c r="J1289" s="354"/>
      <c r="K1289" s="354"/>
      <c r="L1289" s="354"/>
      <c r="M1289" s="354"/>
      <c r="N1289" s="354"/>
      <c r="O1289" s="354"/>
      <c r="P1289" s="354"/>
      <c r="Q1289" s="354"/>
      <c r="R1289" s="354"/>
      <c r="S1289" s="354"/>
      <c r="T1289" s="354"/>
      <c r="U1289" s="354"/>
      <c r="V1289" s="354"/>
      <c r="W1289" s="354"/>
      <c r="X1289" s="354"/>
      <c r="Y1289" s="354"/>
      <c r="Z1289" s="354"/>
      <c r="AA1289" s="354"/>
      <c r="AB1289" s="354"/>
      <c r="AC1289" s="354"/>
      <c r="AD1289" s="354"/>
      <c r="AE1289" s="354"/>
      <c r="AF1289" s="354"/>
      <c r="AG1289" s="354"/>
      <c r="AH1289" s="354"/>
      <c r="AI1289" s="354"/>
      <c r="AJ1289" s="354"/>
      <c r="AK1289" s="354"/>
      <c r="AL1289" s="354"/>
      <c r="AM1289" s="354"/>
      <c r="AN1289" s="354"/>
      <c r="AO1289" s="354"/>
      <c r="AP1289" s="354"/>
      <c r="AQ1289" s="354"/>
      <c r="AR1289" s="354"/>
      <c r="AS1289" s="354"/>
      <c r="AT1289" s="354"/>
      <c r="AU1289" s="354"/>
      <c r="AV1289" s="354"/>
      <c r="AW1289" s="354"/>
    </row>
    <row r="1290" spans="1:49">
      <c r="A1290" s="354"/>
      <c r="B1290" s="354"/>
      <c r="C1290" s="354"/>
      <c r="D1290" s="354"/>
      <c r="E1290" s="354"/>
      <c r="F1290" s="354"/>
      <c r="G1290" s="354"/>
      <c r="H1290" s="354"/>
      <c r="I1290" s="354"/>
      <c r="J1290" s="354"/>
      <c r="K1290" s="354"/>
      <c r="L1290" s="354"/>
      <c r="M1290" s="354"/>
      <c r="N1290" s="354"/>
      <c r="O1290" s="354"/>
      <c r="P1290" s="354"/>
      <c r="Q1290" s="354"/>
      <c r="R1290" s="354"/>
      <c r="S1290" s="354"/>
      <c r="T1290" s="354"/>
      <c r="U1290" s="354"/>
      <c r="V1290" s="354"/>
      <c r="W1290" s="354"/>
      <c r="X1290" s="354"/>
      <c r="Y1290" s="354"/>
      <c r="Z1290" s="354"/>
      <c r="AA1290" s="354"/>
      <c r="AB1290" s="354"/>
      <c r="AC1290" s="354"/>
      <c r="AD1290" s="354"/>
      <c r="AE1290" s="354"/>
      <c r="AF1290" s="354"/>
      <c r="AG1290" s="354"/>
      <c r="AH1290" s="354"/>
      <c r="AI1290" s="354"/>
      <c r="AJ1290" s="354"/>
      <c r="AK1290" s="354"/>
      <c r="AL1290" s="354"/>
      <c r="AM1290" s="354"/>
      <c r="AN1290" s="354"/>
      <c r="AO1290" s="354"/>
      <c r="AP1290" s="354"/>
      <c r="AQ1290" s="354"/>
      <c r="AR1290" s="354"/>
      <c r="AS1290" s="354"/>
      <c r="AT1290" s="354"/>
      <c r="AU1290" s="354"/>
      <c r="AV1290" s="354"/>
      <c r="AW1290" s="354"/>
    </row>
    <row r="1291" spans="1:49">
      <c r="A1291" s="354"/>
      <c r="B1291" s="354"/>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Y1291" s="354"/>
      <c r="Z1291" s="354"/>
      <c r="AA1291" s="354"/>
      <c r="AB1291" s="354"/>
      <c r="AC1291" s="354"/>
      <c r="AD1291" s="354"/>
      <c r="AE1291" s="354"/>
      <c r="AF1291" s="354"/>
      <c r="AG1291" s="354"/>
      <c r="AH1291" s="354"/>
      <c r="AI1291" s="354"/>
      <c r="AJ1291" s="354"/>
      <c r="AK1291" s="354"/>
      <c r="AL1291" s="354"/>
      <c r="AM1291" s="354"/>
      <c r="AN1291" s="354"/>
      <c r="AO1291" s="354"/>
      <c r="AP1291" s="354"/>
      <c r="AQ1291" s="354"/>
      <c r="AR1291" s="354"/>
      <c r="AS1291" s="354"/>
      <c r="AT1291" s="354"/>
      <c r="AU1291" s="354"/>
      <c r="AV1291" s="354"/>
      <c r="AW1291" s="354"/>
    </row>
    <row r="1292" spans="1:49">
      <c r="A1292" s="354"/>
      <c r="B1292" s="354"/>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Y1292" s="354"/>
      <c r="Z1292" s="354"/>
      <c r="AA1292" s="354"/>
      <c r="AB1292" s="354"/>
      <c r="AC1292" s="354"/>
      <c r="AD1292" s="354"/>
      <c r="AE1292" s="354"/>
      <c r="AF1292" s="354"/>
      <c r="AG1292" s="354"/>
      <c r="AH1292" s="354"/>
      <c r="AI1292" s="354"/>
      <c r="AJ1292" s="354"/>
      <c r="AK1292" s="354"/>
      <c r="AL1292" s="354"/>
      <c r="AM1292" s="354"/>
      <c r="AN1292" s="354"/>
      <c r="AO1292" s="354"/>
      <c r="AP1292" s="354"/>
      <c r="AQ1292" s="354"/>
      <c r="AR1292" s="354"/>
      <c r="AS1292" s="354"/>
      <c r="AT1292" s="354"/>
      <c r="AU1292" s="354"/>
      <c r="AV1292" s="354"/>
      <c r="AW1292" s="354"/>
    </row>
    <row r="1293" spans="1:49">
      <c r="A1293" s="354"/>
      <c r="B1293" s="354"/>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Y1293" s="354"/>
      <c r="Z1293" s="354"/>
      <c r="AA1293" s="354"/>
      <c r="AB1293" s="354"/>
      <c r="AC1293" s="354"/>
      <c r="AD1293" s="354"/>
      <c r="AE1293" s="354"/>
      <c r="AF1293" s="354"/>
      <c r="AG1293" s="354"/>
      <c r="AH1293" s="354"/>
      <c r="AI1293" s="354"/>
      <c r="AJ1293" s="354"/>
      <c r="AK1293" s="354"/>
      <c r="AL1293" s="354"/>
      <c r="AM1293" s="354"/>
      <c r="AN1293" s="354"/>
      <c r="AO1293" s="354"/>
      <c r="AP1293" s="354"/>
      <c r="AQ1293" s="354"/>
      <c r="AR1293" s="354"/>
      <c r="AS1293" s="354"/>
      <c r="AT1293" s="354"/>
      <c r="AU1293" s="354"/>
      <c r="AV1293" s="354"/>
      <c r="AW1293" s="354"/>
    </row>
    <row r="1294" spans="1:49">
      <c r="A1294" s="354"/>
      <c r="B1294" s="354"/>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Y1294" s="354"/>
      <c r="Z1294" s="354"/>
      <c r="AA1294" s="354"/>
      <c r="AB1294" s="354"/>
      <c r="AC1294" s="354"/>
      <c r="AD1294" s="354"/>
      <c r="AE1294" s="354"/>
      <c r="AF1294" s="354"/>
      <c r="AG1294" s="354"/>
      <c r="AH1294" s="354"/>
      <c r="AI1294" s="354"/>
      <c r="AJ1294" s="354"/>
      <c r="AK1294" s="354"/>
      <c r="AL1294" s="354"/>
      <c r="AM1294" s="354"/>
      <c r="AN1294" s="354"/>
      <c r="AO1294" s="354"/>
      <c r="AP1294" s="354"/>
      <c r="AQ1294" s="354"/>
      <c r="AR1294" s="354"/>
      <c r="AS1294" s="354"/>
      <c r="AT1294" s="354"/>
      <c r="AU1294" s="354"/>
      <c r="AV1294" s="354"/>
      <c r="AW1294" s="354"/>
    </row>
    <row r="1295" spans="1:49">
      <c r="A1295" s="354"/>
      <c r="B1295" s="354"/>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Y1295" s="354"/>
      <c r="Z1295" s="354"/>
      <c r="AA1295" s="354"/>
      <c r="AB1295" s="354"/>
      <c r="AC1295" s="354"/>
      <c r="AD1295" s="354"/>
      <c r="AE1295" s="354"/>
      <c r="AF1295" s="354"/>
      <c r="AG1295" s="354"/>
      <c r="AH1295" s="354"/>
      <c r="AI1295" s="354"/>
      <c r="AJ1295" s="354"/>
      <c r="AK1295" s="354"/>
      <c r="AL1295" s="354"/>
      <c r="AM1295" s="354"/>
      <c r="AN1295" s="354"/>
      <c r="AO1295" s="354"/>
      <c r="AP1295" s="354"/>
      <c r="AQ1295" s="354"/>
      <c r="AR1295" s="354"/>
      <c r="AS1295" s="354"/>
      <c r="AT1295" s="354"/>
      <c r="AU1295" s="354"/>
      <c r="AV1295" s="354"/>
      <c r="AW1295" s="354"/>
    </row>
    <row r="1296" spans="1:49">
      <c r="A1296" s="354"/>
      <c r="B1296" s="354"/>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Y1296" s="354"/>
      <c r="Z1296" s="354"/>
      <c r="AA1296" s="354"/>
      <c r="AB1296" s="354"/>
      <c r="AC1296" s="354"/>
      <c r="AD1296" s="354"/>
      <c r="AE1296" s="354"/>
      <c r="AF1296" s="354"/>
      <c r="AG1296" s="354"/>
      <c r="AH1296" s="354"/>
      <c r="AI1296" s="354"/>
      <c r="AJ1296" s="354"/>
      <c r="AK1296" s="354"/>
      <c r="AL1296" s="354"/>
      <c r="AM1296" s="354"/>
      <c r="AN1296" s="354"/>
      <c r="AO1296" s="354"/>
      <c r="AP1296" s="354"/>
      <c r="AQ1296" s="354"/>
      <c r="AR1296" s="354"/>
      <c r="AS1296" s="354"/>
      <c r="AT1296" s="354"/>
      <c r="AU1296" s="354"/>
      <c r="AV1296" s="354"/>
      <c r="AW1296" s="354"/>
    </row>
    <row r="1297" spans="1:49">
      <c r="A1297" s="354"/>
      <c r="B1297" s="354"/>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Y1297" s="354"/>
      <c r="Z1297" s="354"/>
      <c r="AA1297" s="354"/>
      <c r="AB1297" s="354"/>
      <c r="AC1297" s="354"/>
      <c r="AD1297" s="354"/>
      <c r="AE1297" s="354"/>
      <c r="AF1297" s="354"/>
      <c r="AG1297" s="354"/>
      <c r="AH1297" s="354"/>
      <c r="AI1297" s="354"/>
      <c r="AJ1297" s="354"/>
      <c r="AK1297" s="354"/>
      <c r="AL1297" s="354"/>
      <c r="AM1297" s="354"/>
      <c r="AN1297" s="354"/>
      <c r="AO1297" s="354"/>
      <c r="AP1297" s="354"/>
      <c r="AQ1297" s="354"/>
      <c r="AR1297" s="354"/>
      <c r="AS1297" s="354"/>
      <c r="AT1297" s="354"/>
      <c r="AU1297" s="354"/>
      <c r="AV1297" s="354"/>
      <c r="AW1297" s="354"/>
    </row>
    <row r="1298" spans="1:49">
      <c r="A1298" s="354"/>
      <c r="B1298" s="354"/>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Y1298" s="354"/>
      <c r="Z1298" s="354"/>
      <c r="AA1298" s="354"/>
      <c r="AB1298" s="354"/>
      <c r="AC1298" s="354"/>
      <c r="AD1298" s="354"/>
      <c r="AE1298" s="354"/>
      <c r="AF1298" s="354"/>
      <c r="AG1298" s="354"/>
      <c r="AH1298" s="354"/>
      <c r="AI1298" s="354"/>
      <c r="AJ1298" s="354"/>
      <c r="AK1298" s="354"/>
      <c r="AL1298" s="354"/>
      <c r="AM1298" s="354"/>
      <c r="AN1298" s="354"/>
      <c r="AO1298" s="354"/>
      <c r="AP1298" s="354"/>
      <c r="AQ1298" s="354"/>
      <c r="AR1298" s="354"/>
      <c r="AS1298" s="354"/>
      <c r="AT1298" s="354"/>
      <c r="AU1298" s="354"/>
      <c r="AV1298" s="354"/>
      <c r="AW1298" s="354"/>
    </row>
    <row r="1299" spans="1:49">
      <c r="A1299" s="354"/>
      <c r="B1299" s="354"/>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Y1299" s="354"/>
      <c r="Z1299" s="354"/>
      <c r="AA1299" s="354"/>
      <c r="AB1299" s="354"/>
      <c r="AC1299" s="354"/>
      <c r="AD1299" s="354"/>
      <c r="AE1299" s="354"/>
      <c r="AF1299" s="354"/>
      <c r="AG1299" s="354"/>
      <c r="AH1299" s="354"/>
      <c r="AI1299" s="354"/>
      <c r="AJ1299" s="354"/>
      <c r="AK1299" s="354"/>
      <c r="AL1299" s="354"/>
      <c r="AM1299" s="354"/>
      <c r="AN1299" s="354"/>
      <c r="AO1299" s="354"/>
      <c r="AP1299" s="354"/>
      <c r="AQ1299" s="354"/>
      <c r="AR1299" s="354"/>
      <c r="AS1299" s="354"/>
      <c r="AT1299" s="354"/>
      <c r="AU1299" s="354"/>
      <c r="AV1299" s="354"/>
      <c r="AW1299" s="354"/>
    </row>
    <row r="1300" spans="1:49">
      <c r="A1300" s="354"/>
      <c r="B1300" s="354"/>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Y1300" s="354"/>
      <c r="Z1300" s="354"/>
      <c r="AA1300" s="354"/>
      <c r="AB1300" s="354"/>
      <c r="AC1300" s="354"/>
      <c r="AD1300" s="354"/>
      <c r="AE1300" s="354"/>
      <c r="AF1300" s="354"/>
      <c r="AG1300" s="354"/>
      <c r="AH1300" s="354"/>
      <c r="AI1300" s="354"/>
      <c r="AJ1300" s="354"/>
      <c r="AK1300" s="354"/>
      <c r="AL1300" s="354"/>
      <c r="AM1300" s="354"/>
      <c r="AN1300" s="354"/>
      <c r="AO1300" s="354"/>
      <c r="AP1300" s="354"/>
      <c r="AQ1300" s="354"/>
      <c r="AR1300" s="354"/>
      <c r="AS1300" s="354"/>
      <c r="AT1300" s="354"/>
      <c r="AU1300" s="354"/>
      <c r="AV1300" s="354"/>
      <c r="AW1300" s="354"/>
    </row>
    <row r="1301" spans="1:49">
      <c r="A1301" s="354"/>
      <c r="B1301" s="354"/>
      <c r="C1301" s="354"/>
      <c r="D1301" s="354"/>
      <c r="E1301" s="354"/>
      <c r="F1301" s="354"/>
      <c r="G1301" s="354"/>
      <c r="H1301" s="354"/>
      <c r="I1301" s="354"/>
      <c r="J1301" s="354"/>
      <c r="K1301" s="354"/>
      <c r="L1301" s="354"/>
      <c r="M1301" s="354"/>
      <c r="N1301" s="354"/>
      <c r="O1301" s="354"/>
      <c r="P1301" s="354"/>
      <c r="Q1301" s="354"/>
      <c r="R1301" s="354"/>
      <c r="S1301" s="354"/>
      <c r="T1301" s="354"/>
      <c r="U1301" s="354"/>
      <c r="V1301" s="354"/>
      <c r="W1301" s="354"/>
      <c r="X1301" s="354"/>
      <c r="Y1301" s="354"/>
      <c r="Z1301" s="354"/>
      <c r="AA1301" s="354"/>
      <c r="AB1301" s="354"/>
      <c r="AC1301" s="354"/>
      <c r="AD1301" s="354"/>
      <c r="AE1301" s="354"/>
      <c r="AF1301" s="354"/>
      <c r="AG1301" s="354"/>
      <c r="AH1301" s="354"/>
      <c r="AI1301" s="354"/>
      <c r="AJ1301" s="354"/>
      <c r="AK1301" s="354"/>
      <c r="AL1301" s="354"/>
      <c r="AM1301" s="354"/>
      <c r="AN1301" s="354"/>
      <c r="AO1301" s="354"/>
      <c r="AP1301" s="354"/>
      <c r="AQ1301" s="354"/>
      <c r="AR1301" s="354"/>
      <c r="AS1301" s="354"/>
      <c r="AT1301" s="354"/>
      <c r="AU1301" s="354"/>
      <c r="AV1301" s="354"/>
      <c r="AW1301" s="354"/>
    </row>
    <row r="1302" spans="1:49">
      <c r="A1302" s="354"/>
      <c r="B1302" s="354"/>
      <c r="C1302" s="354"/>
      <c r="D1302" s="354"/>
      <c r="E1302" s="354"/>
      <c r="F1302" s="354"/>
      <c r="G1302" s="354"/>
      <c r="H1302" s="354"/>
      <c r="I1302" s="354"/>
      <c r="J1302" s="354"/>
      <c r="K1302" s="354"/>
      <c r="L1302" s="354"/>
      <c r="M1302" s="354"/>
      <c r="N1302" s="354"/>
      <c r="O1302" s="354"/>
      <c r="P1302" s="354"/>
      <c r="Q1302" s="354"/>
      <c r="R1302" s="354"/>
      <c r="S1302" s="354"/>
      <c r="T1302" s="354"/>
      <c r="U1302" s="354"/>
      <c r="V1302" s="354"/>
      <c r="W1302" s="354"/>
      <c r="X1302" s="354"/>
      <c r="Y1302" s="354"/>
      <c r="Z1302" s="354"/>
      <c r="AA1302" s="354"/>
      <c r="AB1302" s="354"/>
      <c r="AC1302" s="354"/>
      <c r="AD1302" s="354"/>
      <c r="AE1302" s="354"/>
      <c r="AF1302" s="354"/>
      <c r="AG1302" s="354"/>
      <c r="AH1302" s="354"/>
      <c r="AI1302" s="354"/>
      <c r="AJ1302" s="354"/>
      <c r="AK1302" s="354"/>
      <c r="AL1302" s="354"/>
      <c r="AM1302" s="354"/>
      <c r="AN1302" s="354"/>
      <c r="AO1302" s="354"/>
      <c r="AP1302" s="354"/>
      <c r="AQ1302" s="354"/>
      <c r="AR1302" s="354"/>
      <c r="AS1302" s="354"/>
      <c r="AT1302" s="354"/>
      <c r="AU1302" s="354"/>
      <c r="AV1302" s="354"/>
      <c r="AW1302" s="354"/>
    </row>
    <row r="1303" spans="1:49">
      <c r="A1303" s="354"/>
      <c r="B1303" s="354"/>
      <c r="C1303" s="354"/>
      <c r="D1303" s="354"/>
      <c r="E1303" s="354"/>
      <c r="F1303" s="354"/>
      <c r="G1303" s="354"/>
      <c r="H1303" s="354"/>
      <c r="I1303" s="354"/>
      <c r="J1303" s="354"/>
      <c r="K1303" s="354"/>
      <c r="L1303" s="354"/>
      <c r="M1303" s="354"/>
      <c r="N1303" s="354"/>
      <c r="O1303" s="354"/>
      <c r="P1303" s="354"/>
      <c r="Q1303" s="354"/>
      <c r="R1303" s="354"/>
      <c r="S1303" s="354"/>
      <c r="T1303" s="354"/>
      <c r="U1303" s="354"/>
      <c r="V1303" s="354"/>
      <c r="W1303" s="354"/>
      <c r="X1303" s="354"/>
      <c r="Y1303" s="354"/>
      <c r="Z1303" s="354"/>
      <c r="AA1303" s="354"/>
      <c r="AB1303" s="354"/>
      <c r="AC1303" s="354"/>
      <c r="AD1303" s="354"/>
      <c r="AE1303" s="354"/>
      <c r="AF1303" s="354"/>
      <c r="AG1303" s="354"/>
      <c r="AH1303" s="354"/>
      <c r="AI1303" s="354"/>
      <c r="AJ1303" s="354"/>
      <c r="AK1303" s="354"/>
      <c r="AL1303" s="354"/>
      <c r="AM1303" s="354"/>
      <c r="AN1303" s="354"/>
      <c r="AO1303" s="354"/>
      <c r="AP1303" s="354"/>
      <c r="AQ1303" s="354"/>
      <c r="AR1303" s="354"/>
      <c r="AS1303" s="354"/>
      <c r="AT1303" s="354"/>
      <c r="AU1303" s="354"/>
      <c r="AV1303" s="354"/>
      <c r="AW1303" s="354"/>
    </row>
    <row r="1304" spans="1:49">
      <c r="A1304" s="354"/>
      <c r="B1304" s="354"/>
      <c r="C1304" s="354"/>
      <c r="D1304" s="354"/>
      <c r="E1304" s="354"/>
      <c r="F1304" s="354"/>
      <c r="G1304" s="354"/>
      <c r="H1304" s="354"/>
      <c r="I1304" s="354"/>
      <c r="J1304" s="354"/>
      <c r="K1304" s="354"/>
      <c r="L1304" s="354"/>
      <c r="M1304" s="354"/>
      <c r="N1304" s="354"/>
      <c r="O1304" s="354"/>
      <c r="P1304" s="354"/>
      <c r="Q1304" s="354"/>
      <c r="R1304" s="354"/>
      <c r="S1304" s="354"/>
      <c r="T1304" s="354"/>
      <c r="U1304" s="354"/>
      <c r="V1304" s="354"/>
      <c r="W1304" s="354"/>
      <c r="X1304" s="354"/>
      <c r="Y1304" s="354"/>
      <c r="Z1304" s="354"/>
      <c r="AA1304" s="354"/>
      <c r="AB1304" s="354"/>
      <c r="AC1304" s="354"/>
      <c r="AD1304" s="354"/>
      <c r="AE1304" s="354"/>
      <c r="AF1304" s="354"/>
      <c r="AG1304" s="354"/>
      <c r="AH1304" s="354"/>
      <c r="AI1304" s="354"/>
      <c r="AJ1304" s="354"/>
      <c r="AK1304" s="354"/>
      <c r="AL1304" s="354"/>
      <c r="AM1304" s="354"/>
      <c r="AN1304" s="354"/>
      <c r="AO1304" s="354"/>
      <c r="AP1304" s="354"/>
      <c r="AQ1304" s="354"/>
      <c r="AR1304" s="354"/>
      <c r="AS1304" s="354"/>
      <c r="AT1304" s="354"/>
      <c r="AU1304" s="354"/>
      <c r="AV1304" s="354"/>
      <c r="AW1304" s="354"/>
    </row>
    <row r="1305" spans="1:49">
      <c r="A1305" s="354"/>
      <c r="B1305" s="354"/>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Y1305" s="354"/>
      <c r="Z1305" s="354"/>
      <c r="AA1305" s="354"/>
      <c r="AB1305" s="354"/>
      <c r="AC1305" s="354"/>
      <c r="AD1305" s="354"/>
      <c r="AE1305" s="354"/>
      <c r="AF1305" s="354"/>
      <c r="AG1305" s="354"/>
      <c r="AH1305" s="354"/>
      <c r="AI1305" s="354"/>
      <c r="AJ1305" s="354"/>
      <c r="AK1305" s="354"/>
      <c r="AL1305" s="354"/>
      <c r="AM1305" s="354"/>
      <c r="AN1305" s="354"/>
      <c r="AO1305" s="354"/>
      <c r="AP1305" s="354"/>
      <c r="AQ1305" s="354"/>
      <c r="AR1305" s="354"/>
      <c r="AS1305" s="354"/>
      <c r="AT1305" s="354"/>
      <c r="AU1305" s="354"/>
      <c r="AV1305" s="354"/>
      <c r="AW1305" s="354"/>
    </row>
    <row r="1306" spans="1:49">
      <c r="A1306" s="354"/>
      <c r="B1306" s="354"/>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Y1306" s="354"/>
      <c r="Z1306" s="354"/>
      <c r="AA1306" s="354"/>
      <c r="AB1306" s="354"/>
      <c r="AC1306" s="354"/>
      <c r="AD1306" s="354"/>
      <c r="AE1306" s="354"/>
      <c r="AF1306" s="354"/>
      <c r="AG1306" s="354"/>
      <c r="AH1306" s="354"/>
      <c r="AI1306" s="354"/>
      <c r="AJ1306" s="354"/>
      <c r="AK1306" s="354"/>
      <c r="AL1306" s="354"/>
      <c r="AM1306" s="354"/>
      <c r="AN1306" s="354"/>
      <c r="AO1306" s="354"/>
      <c r="AP1306" s="354"/>
      <c r="AQ1306" s="354"/>
      <c r="AR1306" s="354"/>
      <c r="AS1306" s="354"/>
      <c r="AT1306" s="354"/>
      <c r="AU1306" s="354"/>
      <c r="AV1306" s="354"/>
      <c r="AW1306" s="354"/>
    </row>
    <row r="1307" spans="1:49">
      <c r="A1307" s="354"/>
      <c r="B1307" s="354"/>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Y1307" s="354"/>
      <c r="Z1307" s="354"/>
      <c r="AA1307" s="354"/>
      <c r="AB1307" s="354"/>
      <c r="AC1307" s="354"/>
      <c r="AD1307" s="354"/>
      <c r="AE1307" s="354"/>
      <c r="AF1307" s="354"/>
      <c r="AG1307" s="354"/>
      <c r="AH1307" s="354"/>
      <c r="AI1307" s="354"/>
      <c r="AJ1307" s="354"/>
      <c r="AK1307" s="354"/>
      <c r="AL1307" s="354"/>
      <c r="AM1307" s="354"/>
      <c r="AN1307" s="354"/>
      <c r="AO1307" s="354"/>
      <c r="AP1307" s="354"/>
      <c r="AQ1307" s="354"/>
      <c r="AR1307" s="354"/>
      <c r="AS1307" s="354"/>
      <c r="AT1307" s="354"/>
      <c r="AU1307" s="354"/>
      <c r="AV1307" s="354"/>
      <c r="AW1307" s="354"/>
    </row>
    <row r="1308" spans="1:49">
      <c r="A1308" s="354"/>
      <c r="B1308" s="354"/>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Y1308" s="354"/>
      <c r="Z1308" s="354"/>
      <c r="AA1308" s="354"/>
      <c r="AB1308" s="354"/>
      <c r="AC1308" s="354"/>
      <c r="AD1308" s="354"/>
      <c r="AE1308" s="354"/>
      <c r="AF1308" s="354"/>
      <c r="AG1308" s="354"/>
      <c r="AH1308" s="354"/>
      <c r="AI1308" s="354"/>
      <c r="AJ1308" s="354"/>
      <c r="AK1308" s="354"/>
      <c r="AL1308" s="354"/>
      <c r="AM1308" s="354"/>
      <c r="AN1308" s="354"/>
      <c r="AO1308" s="354"/>
      <c r="AP1308" s="354"/>
      <c r="AQ1308" s="354"/>
      <c r="AR1308" s="354"/>
      <c r="AS1308" s="354"/>
      <c r="AT1308" s="354"/>
      <c r="AU1308" s="354"/>
      <c r="AV1308" s="354"/>
      <c r="AW1308" s="354"/>
    </row>
    <row r="1309" spans="1:49">
      <c r="A1309" s="354"/>
      <c r="B1309" s="354"/>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Y1309" s="354"/>
      <c r="Z1309" s="354"/>
      <c r="AA1309" s="354"/>
      <c r="AB1309" s="354"/>
      <c r="AC1309" s="354"/>
      <c r="AD1309" s="354"/>
      <c r="AE1309" s="354"/>
      <c r="AF1309" s="354"/>
      <c r="AG1309" s="354"/>
      <c r="AH1309" s="354"/>
      <c r="AI1309" s="354"/>
      <c r="AJ1309" s="354"/>
      <c r="AK1309" s="354"/>
      <c r="AL1309" s="354"/>
      <c r="AM1309" s="354"/>
      <c r="AN1309" s="354"/>
      <c r="AO1309" s="354"/>
      <c r="AP1309" s="354"/>
      <c r="AQ1309" s="354"/>
      <c r="AR1309" s="354"/>
      <c r="AS1309" s="354"/>
      <c r="AT1309" s="354"/>
      <c r="AU1309" s="354"/>
      <c r="AV1309" s="354"/>
      <c r="AW1309" s="354"/>
    </row>
    <row r="1310" spans="1:49">
      <c r="A1310" s="354"/>
      <c r="B1310" s="354"/>
      <c r="C1310" s="354"/>
      <c r="D1310" s="354"/>
      <c r="E1310" s="354"/>
      <c r="F1310" s="354"/>
      <c r="G1310" s="354"/>
      <c r="H1310" s="354"/>
      <c r="I1310" s="354"/>
      <c r="J1310" s="354"/>
      <c r="K1310" s="354"/>
      <c r="L1310" s="354"/>
      <c r="M1310" s="354"/>
      <c r="N1310" s="354"/>
      <c r="O1310" s="354"/>
      <c r="P1310" s="354"/>
      <c r="Q1310" s="354"/>
      <c r="R1310" s="354"/>
      <c r="S1310" s="354"/>
      <c r="T1310" s="354"/>
      <c r="U1310" s="354"/>
      <c r="V1310" s="354"/>
      <c r="W1310" s="354"/>
      <c r="X1310" s="354"/>
      <c r="Y1310" s="354"/>
      <c r="Z1310" s="354"/>
      <c r="AA1310" s="354"/>
      <c r="AB1310" s="354"/>
      <c r="AC1310" s="354"/>
      <c r="AD1310" s="354"/>
      <c r="AE1310" s="354"/>
      <c r="AF1310" s="354"/>
      <c r="AG1310" s="354"/>
      <c r="AH1310" s="354"/>
      <c r="AI1310" s="354"/>
      <c r="AJ1310" s="354"/>
      <c r="AK1310" s="354"/>
      <c r="AL1310" s="354"/>
      <c r="AM1310" s="354"/>
      <c r="AN1310" s="354"/>
      <c r="AO1310" s="354"/>
      <c r="AP1310" s="354"/>
      <c r="AQ1310" s="354"/>
      <c r="AR1310" s="354"/>
      <c r="AS1310" s="354"/>
      <c r="AT1310" s="354"/>
      <c r="AU1310" s="354"/>
      <c r="AV1310" s="354"/>
      <c r="AW1310" s="354"/>
    </row>
    <row r="1311" spans="1:49">
      <c r="A1311" s="354"/>
      <c r="B1311" s="354"/>
      <c r="C1311" s="354"/>
      <c r="D1311" s="354"/>
      <c r="E1311" s="354"/>
      <c r="F1311" s="354"/>
      <c r="G1311" s="354"/>
      <c r="H1311" s="354"/>
      <c r="I1311" s="354"/>
      <c r="J1311" s="354"/>
      <c r="K1311" s="354"/>
      <c r="L1311" s="354"/>
      <c r="M1311" s="354"/>
      <c r="N1311" s="354"/>
      <c r="O1311" s="354"/>
      <c r="P1311" s="354"/>
      <c r="Q1311" s="354"/>
      <c r="R1311" s="354"/>
      <c r="S1311" s="354"/>
      <c r="T1311" s="354"/>
      <c r="U1311" s="354"/>
      <c r="V1311" s="354"/>
      <c r="W1311" s="354"/>
      <c r="X1311" s="354"/>
      <c r="Y1311" s="354"/>
      <c r="Z1311" s="354"/>
      <c r="AA1311" s="354"/>
      <c r="AB1311" s="354"/>
      <c r="AC1311" s="354"/>
      <c r="AD1311" s="354"/>
      <c r="AE1311" s="354"/>
      <c r="AF1311" s="354"/>
      <c r="AG1311" s="354"/>
      <c r="AH1311" s="354"/>
      <c r="AI1311" s="354"/>
      <c r="AJ1311" s="354"/>
      <c r="AK1311" s="354"/>
      <c r="AL1311" s="354"/>
      <c r="AM1311" s="354"/>
      <c r="AN1311" s="354"/>
      <c r="AO1311" s="354"/>
      <c r="AP1311" s="354"/>
      <c r="AQ1311" s="354"/>
      <c r="AR1311" s="354"/>
      <c r="AS1311" s="354"/>
      <c r="AT1311" s="354"/>
      <c r="AU1311" s="354"/>
      <c r="AV1311" s="354"/>
      <c r="AW1311" s="354"/>
    </row>
    <row r="1312" spans="1:49">
      <c r="A1312" s="354"/>
      <c r="B1312" s="354"/>
      <c r="C1312" s="354"/>
      <c r="D1312" s="354"/>
      <c r="E1312" s="354"/>
      <c r="F1312" s="354"/>
      <c r="G1312" s="354"/>
      <c r="H1312" s="354"/>
      <c r="I1312" s="354"/>
      <c r="J1312" s="354"/>
      <c r="K1312" s="354"/>
      <c r="L1312" s="354"/>
      <c r="M1312" s="354"/>
      <c r="N1312" s="354"/>
      <c r="O1312" s="354"/>
      <c r="P1312" s="354"/>
      <c r="Q1312" s="354"/>
      <c r="R1312" s="354"/>
      <c r="S1312" s="354"/>
      <c r="T1312" s="354"/>
      <c r="U1312" s="354"/>
      <c r="V1312" s="354"/>
      <c r="W1312" s="354"/>
      <c r="X1312" s="354"/>
      <c r="Y1312" s="354"/>
      <c r="Z1312" s="354"/>
      <c r="AA1312" s="354"/>
      <c r="AB1312" s="354"/>
      <c r="AC1312" s="354"/>
      <c r="AD1312" s="354"/>
      <c r="AE1312" s="354"/>
      <c r="AF1312" s="354"/>
      <c r="AG1312" s="354"/>
      <c r="AH1312" s="354"/>
      <c r="AI1312" s="354"/>
      <c r="AJ1312" s="354"/>
      <c r="AK1312" s="354"/>
      <c r="AL1312" s="354"/>
      <c r="AM1312" s="354"/>
      <c r="AN1312" s="354"/>
      <c r="AO1312" s="354"/>
      <c r="AP1312" s="354"/>
      <c r="AQ1312" s="354"/>
      <c r="AR1312" s="354"/>
      <c r="AS1312" s="354"/>
      <c r="AT1312" s="354"/>
      <c r="AU1312" s="354"/>
      <c r="AV1312" s="354"/>
      <c r="AW1312" s="354"/>
    </row>
    <row r="1313" spans="1:49">
      <c r="A1313" s="354"/>
      <c r="B1313" s="354"/>
      <c r="C1313" s="354"/>
      <c r="D1313" s="354"/>
      <c r="E1313" s="354"/>
      <c r="F1313" s="354"/>
      <c r="G1313" s="354"/>
      <c r="H1313" s="354"/>
      <c r="I1313" s="354"/>
      <c r="J1313" s="354"/>
      <c r="K1313" s="354"/>
      <c r="L1313" s="354"/>
      <c r="M1313" s="354"/>
      <c r="N1313" s="354"/>
      <c r="O1313" s="354"/>
      <c r="P1313" s="354"/>
      <c r="Q1313" s="354"/>
      <c r="R1313" s="354"/>
      <c r="S1313" s="354"/>
      <c r="T1313" s="354"/>
      <c r="U1313" s="354"/>
      <c r="V1313" s="354"/>
      <c r="W1313" s="354"/>
      <c r="X1313" s="354"/>
      <c r="Y1313" s="354"/>
      <c r="Z1313" s="354"/>
      <c r="AA1313" s="354"/>
      <c r="AB1313" s="354"/>
      <c r="AC1313" s="354"/>
      <c r="AD1313" s="354"/>
      <c r="AE1313" s="354"/>
      <c r="AF1313" s="354"/>
      <c r="AG1313" s="354"/>
      <c r="AH1313" s="354"/>
      <c r="AI1313" s="354"/>
      <c r="AJ1313" s="354"/>
      <c r="AK1313" s="354"/>
      <c r="AL1313" s="354"/>
      <c r="AM1313" s="354"/>
      <c r="AN1313" s="354"/>
      <c r="AO1313" s="354"/>
      <c r="AP1313" s="354"/>
      <c r="AQ1313" s="354"/>
      <c r="AR1313" s="354"/>
      <c r="AS1313" s="354"/>
      <c r="AT1313" s="354"/>
      <c r="AU1313" s="354"/>
      <c r="AV1313" s="354"/>
      <c r="AW1313" s="354"/>
    </row>
    <row r="1314" spans="1:49">
      <c r="A1314" s="354"/>
      <c r="B1314" s="354"/>
      <c r="C1314" s="354"/>
      <c r="D1314" s="354"/>
      <c r="E1314" s="354"/>
      <c r="F1314" s="354"/>
      <c r="G1314" s="354"/>
      <c r="H1314" s="354"/>
      <c r="I1314" s="354"/>
      <c r="J1314" s="354"/>
      <c r="K1314" s="354"/>
      <c r="L1314" s="354"/>
      <c r="M1314" s="354"/>
      <c r="N1314" s="354"/>
      <c r="O1314" s="354"/>
      <c r="P1314" s="354"/>
      <c r="Q1314" s="354"/>
      <c r="R1314" s="354"/>
      <c r="S1314" s="354"/>
      <c r="T1314" s="354"/>
      <c r="U1314" s="354"/>
      <c r="V1314" s="354"/>
      <c r="W1314" s="354"/>
      <c r="X1314" s="354"/>
      <c r="Y1314" s="354"/>
      <c r="Z1314" s="354"/>
      <c r="AA1314" s="354"/>
      <c r="AB1314" s="354"/>
      <c r="AC1314" s="354"/>
      <c r="AD1314" s="354"/>
      <c r="AE1314" s="354"/>
      <c r="AF1314" s="354"/>
      <c r="AG1314" s="354"/>
      <c r="AH1314" s="354"/>
      <c r="AI1314" s="354"/>
      <c r="AJ1314" s="354"/>
      <c r="AK1314" s="354"/>
      <c r="AL1314" s="354"/>
      <c r="AM1314" s="354"/>
      <c r="AN1314" s="354"/>
      <c r="AO1314" s="354"/>
      <c r="AP1314" s="354"/>
      <c r="AQ1314" s="354"/>
      <c r="AR1314" s="354"/>
      <c r="AS1314" s="354"/>
      <c r="AT1314" s="354"/>
      <c r="AU1314" s="354"/>
      <c r="AV1314" s="354"/>
      <c r="AW1314" s="354"/>
    </row>
    <row r="1315" spans="1:49">
      <c r="A1315" s="354"/>
      <c r="B1315" s="354"/>
      <c r="C1315" s="354"/>
      <c r="D1315" s="354"/>
      <c r="E1315" s="354"/>
      <c r="F1315" s="354"/>
      <c r="G1315" s="354"/>
      <c r="H1315" s="354"/>
      <c r="I1315" s="354"/>
      <c r="J1315" s="354"/>
      <c r="K1315" s="354"/>
      <c r="L1315" s="354"/>
      <c r="M1315" s="354"/>
      <c r="N1315" s="354"/>
      <c r="O1315" s="354"/>
      <c r="P1315" s="354"/>
      <c r="Q1315" s="354"/>
      <c r="R1315" s="354"/>
      <c r="S1315" s="354"/>
      <c r="T1315" s="354"/>
      <c r="U1315" s="354"/>
      <c r="V1315" s="354"/>
      <c r="W1315" s="354"/>
      <c r="X1315" s="354"/>
      <c r="Y1315" s="354"/>
      <c r="Z1315" s="354"/>
      <c r="AA1315" s="354"/>
      <c r="AB1315" s="354"/>
      <c r="AC1315" s="354"/>
      <c r="AD1315" s="354"/>
      <c r="AE1315" s="354"/>
      <c r="AF1315" s="354"/>
      <c r="AG1315" s="354"/>
      <c r="AH1315" s="354"/>
      <c r="AI1315" s="354"/>
      <c r="AJ1315" s="354"/>
      <c r="AK1315" s="354"/>
      <c r="AL1315" s="354"/>
      <c r="AM1315" s="354"/>
      <c r="AN1315" s="354"/>
      <c r="AO1315" s="354"/>
      <c r="AP1315" s="354"/>
      <c r="AQ1315" s="354"/>
      <c r="AR1315" s="354"/>
      <c r="AS1315" s="354"/>
      <c r="AT1315" s="354"/>
      <c r="AU1315" s="354"/>
      <c r="AV1315" s="354"/>
      <c r="AW1315" s="354"/>
    </row>
    <row r="1316" spans="1:49">
      <c r="A1316" s="354"/>
      <c r="B1316" s="354"/>
      <c r="C1316" s="354"/>
      <c r="D1316" s="354"/>
      <c r="E1316" s="354"/>
      <c r="F1316" s="354"/>
      <c r="G1316" s="354"/>
      <c r="H1316" s="354"/>
      <c r="I1316" s="354"/>
      <c r="J1316" s="354"/>
      <c r="K1316" s="354"/>
      <c r="L1316" s="354"/>
      <c r="M1316" s="354"/>
      <c r="N1316" s="354"/>
      <c r="O1316" s="354"/>
      <c r="P1316" s="354"/>
      <c r="Q1316" s="354"/>
      <c r="R1316" s="354"/>
      <c r="S1316" s="354"/>
      <c r="T1316" s="354"/>
      <c r="U1316" s="354"/>
      <c r="V1316" s="354"/>
      <c r="W1316" s="354"/>
      <c r="X1316" s="354"/>
      <c r="Y1316" s="354"/>
      <c r="Z1316" s="354"/>
      <c r="AA1316" s="354"/>
      <c r="AB1316" s="354"/>
      <c r="AC1316" s="354"/>
      <c r="AD1316" s="354"/>
      <c r="AE1316" s="354"/>
      <c r="AF1316" s="354"/>
      <c r="AG1316" s="354"/>
      <c r="AH1316" s="354"/>
      <c r="AI1316" s="354"/>
      <c r="AJ1316" s="354"/>
      <c r="AK1316" s="354"/>
      <c r="AL1316" s="354"/>
      <c r="AM1316" s="354"/>
      <c r="AN1316" s="354"/>
      <c r="AO1316" s="354"/>
      <c r="AP1316" s="354"/>
      <c r="AQ1316" s="354"/>
      <c r="AR1316" s="354"/>
      <c r="AS1316" s="354"/>
      <c r="AT1316" s="354"/>
      <c r="AU1316" s="354"/>
      <c r="AV1316" s="354"/>
      <c r="AW1316" s="354"/>
    </row>
    <row r="1317" spans="1:49">
      <c r="A1317" s="354"/>
      <c r="B1317" s="354"/>
      <c r="C1317" s="354"/>
      <c r="D1317" s="354"/>
      <c r="E1317" s="354"/>
      <c r="F1317" s="354"/>
      <c r="G1317" s="354"/>
      <c r="H1317" s="354"/>
      <c r="I1317" s="354"/>
      <c r="J1317" s="354"/>
      <c r="K1317" s="354"/>
      <c r="L1317" s="354"/>
      <c r="M1317" s="354"/>
      <c r="N1317" s="354"/>
      <c r="O1317" s="354"/>
      <c r="P1317" s="354"/>
      <c r="Q1317" s="354"/>
      <c r="R1317" s="354"/>
      <c r="S1317" s="354"/>
      <c r="T1317" s="354"/>
      <c r="U1317" s="354"/>
      <c r="V1317" s="354"/>
      <c r="W1317" s="354"/>
      <c r="X1317" s="354"/>
      <c r="Y1317" s="354"/>
      <c r="Z1317" s="354"/>
      <c r="AA1317" s="354"/>
      <c r="AB1317" s="354"/>
      <c r="AC1317" s="354"/>
      <c r="AD1317" s="354"/>
      <c r="AE1317" s="354"/>
      <c r="AF1317" s="354"/>
      <c r="AG1317" s="354"/>
      <c r="AH1317" s="354"/>
      <c r="AI1317" s="354"/>
      <c r="AJ1317" s="354"/>
      <c r="AK1317" s="354"/>
      <c r="AL1317" s="354"/>
      <c r="AM1317" s="354"/>
      <c r="AN1317" s="354"/>
      <c r="AO1317" s="354"/>
      <c r="AP1317" s="354"/>
      <c r="AQ1317" s="354"/>
      <c r="AR1317" s="354"/>
      <c r="AS1317" s="354"/>
      <c r="AT1317" s="354"/>
      <c r="AU1317" s="354"/>
      <c r="AV1317" s="354"/>
      <c r="AW1317" s="354"/>
    </row>
    <row r="1318" spans="1:49">
      <c r="A1318" s="354"/>
      <c r="B1318" s="354"/>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Y1318" s="354"/>
      <c r="Z1318" s="354"/>
      <c r="AA1318" s="354"/>
      <c r="AB1318" s="354"/>
      <c r="AC1318" s="354"/>
      <c r="AD1318" s="354"/>
      <c r="AE1318" s="354"/>
      <c r="AF1318" s="354"/>
      <c r="AG1318" s="354"/>
      <c r="AH1318" s="354"/>
      <c r="AI1318" s="354"/>
      <c r="AJ1318" s="354"/>
      <c r="AK1318" s="354"/>
      <c r="AL1318" s="354"/>
      <c r="AM1318" s="354"/>
      <c r="AN1318" s="354"/>
      <c r="AO1318" s="354"/>
      <c r="AP1318" s="354"/>
      <c r="AQ1318" s="354"/>
      <c r="AR1318" s="354"/>
      <c r="AS1318" s="354"/>
      <c r="AT1318" s="354"/>
      <c r="AU1318" s="354"/>
      <c r="AV1318" s="354"/>
      <c r="AW1318" s="354"/>
    </row>
    <row r="1319" spans="1:49">
      <c r="A1319" s="354"/>
      <c r="B1319" s="354"/>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Y1319" s="354"/>
      <c r="Z1319" s="354"/>
      <c r="AA1319" s="354"/>
      <c r="AB1319" s="354"/>
      <c r="AC1319" s="354"/>
      <c r="AD1319" s="354"/>
      <c r="AE1319" s="354"/>
      <c r="AF1319" s="354"/>
      <c r="AG1319" s="354"/>
      <c r="AH1319" s="354"/>
      <c r="AI1319" s="354"/>
      <c r="AJ1319" s="354"/>
      <c r="AK1319" s="354"/>
      <c r="AL1319" s="354"/>
      <c r="AM1319" s="354"/>
      <c r="AN1319" s="354"/>
      <c r="AO1319" s="354"/>
      <c r="AP1319" s="354"/>
      <c r="AQ1319" s="354"/>
      <c r="AR1319" s="354"/>
      <c r="AS1319" s="354"/>
      <c r="AT1319" s="354"/>
      <c r="AU1319" s="354"/>
      <c r="AV1319" s="354"/>
      <c r="AW1319" s="354"/>
    </row>
    <row r="1320" spans="1:49">
      <c r="A1320" s="354"/>
      <c r="B1320" s="354"/>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Y1320" s="354"/>
      <c r="Z1320" s="354"/>
      <c r="AA1320" s="354"/>
      <c r="AB1320" s="354"/>
      <c r="AC1320" s="354"/>
      <c r="AD1320" s="354"/>
      <c r="AE1320" s="354"/>
      <c r="AF1320" s="354"/>
      <c r="AG1320" s="354"/>
      <c r="AH1320" s="354"/>
      <c r="AI1320" s="354"/>
      <c r="AJ1320" s="354"/>
      <c r="AK1320" s="354"/>
      <c r="AL1320" s="354"/>
      <c r="AM1320" s="354"/>
      <c r="AN1320" s="354"/>
      <c r="AO1320" s="354"/>
      <c r="AP1320" s="354"/>
      <c r="AQ1320" s="354"/>
      <c r="AR1320" s="354"/>
      <c r="AS1320" s="354"/>
      <c r="AT1320" s="354"/>
      <c r="AU1320" s="354"/>
      <c r="AV1320" s="354"/>
      <c r="AW1320" s="354"/>
    </row>
    <row r="1321" spans="1:49">
      <c r="A1321" s="354"/>
      <c r="B1321" s="354"/>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Y1321" s="354"/>
      <c r="Z1321" s="354"/>
      <c r="AA1321" s="354"/>
      <c r="AB1321" s="354"/>
      <c r="AC1321" s="354"/>
      <c r="AD1321" s="354"/>
      <c r="AE1321" s="354"/>
      <c r="AF1321" s="354"/>
      <c r="AG1321" s="354"/>
      <c r="AH1321" s="354"/>
      <c r="AI1321" s="354"/>
      <c r="AJ1321" s="354"/>
      <c r="AK1321" s="354"/>
      <c r="AL1321" s="354"/>
      <c r="AM1321" s="354"/>
      <c r="AN1321" s="354"/>
      <c r="AO1321" s="354"/>
      <c r="AP1321" s="354"/>
      <c r="AQ1321" s="354"/>
      <c r="AR1321" s="354"/>
      <c r="AS1321" s="354"/>
      <c r="AT1321" s="354"/>
      <c r="AU1321" s="354"/>
      <c r="AV1321" s="354"/>
      <c r="AW1321" s="354"/>
    </row>
    <row r="1322" spans="1:49">
      <c r="A1322" s="354"/>
      <c r="B1322" s="354"/>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Y1322" s="354"/>
      <c r="Z1322" s="354"/>
      <c r="AA1322" s="354"/>
      <c r="AB1322" s="354"/>
      <c r="AC1322" s="354"/>
      <c r="AD1322" s="354"/>
      <c r="AE1322" s="354"/>
      <c r="AF1322" s="354"/>
      <c r="AG1322" s="354"/>
      <c r="AH1322" s="354"/>
      <c r="AI1322" s="354"/>
      <c r="AJ1322" s="354"/>
      <c r="AK1322" s="354"/>
      <c r="AL1322" s="354"/>
      <c r="AM1322" s="354"/>
      <c r="AN1322" s="354"/>
      <c r="AO1322" s="354"/>
      <c r="AP1322" s="354"/>
      <c r="AQ1322" s="354"/>
      <c r="AR1322" s="354"/>
      <c r="AS1322" s="354"/>
      <c r="AT1322" s="354"/>
      <c r="AU1322" s="354"/>
      <c r="AV1322" s="354"/>
      <c r="AW1322" s="354"/>
    </row>
    <row r="1323" spans="1:49">
      <c r="A1323" s="354"/>
      <c r="B1323" s="354"/>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Y1323" s="354"/>
      <c r="Z1323" s="354"/>
      <c r="AA1323" s="354"/>
      <c r="AB1323" s="354"/>
      <c r="AC1323" s="354"/>
      <c r="AD1323" s="354"/>
      <c r="AE1323" s="354"/>
      <c r="AF1323" s="354"/>
      <c r="AG1323" s="354"/>
      <c r="AH1323" s="354"/>
      <c r="AI1323" s="354"/>
      <c r="AJ1323" s="354"/>
      <c r="AK1323" s="354"/>
      <c r="AL1323" s="354"/>
      <c r="AM1323" s="354"/>
      <c r="AN1323" s="354"/>
      <c r="AO1323" s="354"/>
      <c r="AP1323" s="354"/>
      <c r="AQ1323" s="354"/>
      <c r="AR1323" s="354"/>
      <c r="AS1323" s="354"/>
      <c r="AT1323" s="354"/>
      <c r="AU1323" s="354"/>
      <c r="AV1323" s="354"/>
      <c r="AW1323" s="354"/>
    </row>
    <row r="1324" spans="1:49">
      <c r="A1324" s="354"/>
      <c r="B1324" s="354"/>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Y1324" s="354"/>
      <c r="Z1324" s="354"/>
      <c r="AA1324" s="354"/>
      <c r="AB1324" s="354"/>
      <c r="AC1324" s="354"/>
      <c r="AD1324" s="354"/>
      <c r="AE1324" s="354"/>
      <c r="AF1324" s="354"/>
      <c r="AG1324" s="354"/>
      <c r="AH1324" s="354"/>
      <c r="AI1324" s="354"/>
      <c r="AJ1324" s="354"/>
      <c r="AK1324" s="354"/>
      <c r="AL1324" s="354"/>
      <c r="AM1324" s="354"/>
      <c r="AN1324" s="354"/>
      <c r="AO1324" s="354"/>
      <c r="AP1324" s="354"/>
      <c r="AQ1324" s="354"/>
      <c r="AR1324" s="354"/>
      <c r="AS1324" s="354"/>
      <c r="AT1324" s="354"/>
      <c r="AU1324" s="354"/>
      <c r="AV1324" s="354"/>
      <c r="AW1324" s="354"/>
    </row>
    <row r="1325" spans="1:49">
      <c r="A1325" s="354"/>
      <c r="B1325" s="354"/>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Y1325" s="354"/>
      <c r="Z1325" s="354"/>
      <c r="AA1325" s="354"/>
      <c r="AB1325" s="354"/>
      <c r="AC1325" s="354"/>
      <c r="AD1325" s="354"/>
      <c r="AE1325" s="354"/>
      <c r="AF1325" s="354"/>
      <c r="AG1325" s="354"/>
      <c r="AH1325" s="354"/>
      <c r="AI1325" s="354"/>
      <c r="AJ1325" s="354"/>
      <c r="AK1325" s="354"/>
      <c r="AL1325" s="354"/>
      <c r="AM1325" s="354"/>
      <c r="AN1325" s="354"/>
      <c r="AO1325" s="354"/>
      <c r="AP1325" s="354"/>
      <c r="AQ1325" s="354"/>
      <c r="AR1325" s="354"/>
      <c r="AS1325" s="354"/>
      <c r="AT1325" s="354"/>
      <c r="AU1325" s="354"/>
      <c r="AV1325" s="354"/>
      <c r="AW1325" s="354"/>
    </row>
    <row r="1326" spans="1:49">
      <c r="A1326" s="354"/>
      <c r="B1326" s="354"/>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Y1326" s="354"/>
      <c r="Z1326" s="354"/>
      <c r="AA1326" s="354"/>
      <c r="AB1326" s="354"/>
      <c r="AC1326" s="354"/>
      <c r="AD1326" s="354"/>
      <c r="AE1326" s="354"/>
      <c r="AF1326" s="354"/>
      <c r="AG1326" s="354"/>
      <c r="AH1326" s="354"/>
      <c r="AI1326" s="354"/>
      <c r="AJ1326" s="354"/>
      <c r="AK1326" s="354"/>
      <c r="AL1326" s="354"/>
      <c r="AM1326" s="354"/>
      <c r="AN1326" s="354"/>
      <c r="AO1326" s="354"/>
      <c r="AP1326" s="354"/>
      <c r="AQ1326" s="354"/>
      <c r="AR1326" s="354"/>
      <c r="AS1326" s="354"/>
      <c r="AT1326" s="354"/>
      <c r="AU1326" s="354"/>
      <c r="AV1326" s="354"/>
      <c r="AW1326" s="354"/>
    </row>
    <row r="1327" spans="1:49">
      <c r="A1327" s="354"/>
      <c r="B1327" s="354"/>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Y1327" s="354"/>
      <c r="Z1327" s="354"/>
      <c r="AA1327" s="354"/>
      <c r="AB1327" s="354"/>
      <c r="AC1327" s="354"/>
      <c r="AD1327" s="354"/>
      <c r="AE1327" s="354"/>
      <c r="AF1327" s="354"/>
      <c r="AG1327" s="354"/>
      <c r="AH1327" s="354"/>
      <c r="AI1327" s="354"/>
      <c r="AJ1327" s="354"/>
      <c r="AK1327" s="354"/>
      <c r="AL1327" s="354"/>
      <c r="AM1327" s="354"/>
      <c r="AN1327" s="354"/>
      <c r="AO1327" s="354"/>
      <c r="AP1327" s="354"/>
      <c r="AQ1327" s="354"/>
      <c r="AR1327" s="354"/>
      <c r="AS1327" s="354"/>
      <c r="AT1327" s="354"/>
      <c r="AU1327" s="354"/>
      <c r="AV1327" s="354"/>
      <c r="AW1327" s="354"/>
    </row>
    <row r="1328" spans="1:49">
      <c r="A1328" s="354"/>
      <c r="B1328" s="354"/>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Y1328" s="354"/>
      <c r="Z1328" s="354"/>
      <c r="AA1328" s="354"/>
      <c r="AB1328" s="354"/>
      <c r="AC1328" s="354"/>
      <c r="AD1328" s="354"/>
      <c r="AE1328" s="354"/>
      <c r="AF1328" s="354"/>
      <c r="AG1328" s="354"/>
      <c r="AH1328" s="354"/>
      <c r="AI1328" s="354"/>
      <c r="AJ1328" s="354"/>
      <c r="AK1328" s="354"/>
      <c r="AL1328" s="354"/>
      <c r="AM1328" s="354"/>
      <c r="AN1328" s="354"/>
      <c r="AO1328" s="354"/>
      <c r="AP1328" s="354"/>
      <c r="AQ1328" s="354"/>
      <c r="AR1328" s="354"/>
      <c r="AS1328" s="354"/>
      <c r="AT1328" s="354"/>
      <c r="AU1328" s="354"/>
      <c r="AV1328" s="354"/>
      <c r="AW1328" s="354"/>
    </row>
    <row r="1329" spans="1:49">
      <c r="A1329" s="354"/>
      <c r="B1329" s="354"/>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Y1329" s="354"/>
      <c r="Z1329" s="354"/>
      <c r="AA1329" s="354"/>
      <c r="AB1329" s="354"/>
      <c r="AC1329" s="354"/>
      <c r="AD1329" s="354"/>
      <c r="AE1329" s="354"/>
      <c r="AF1329" s="354"/>
      <c r="AG1329" s="354"/>
      <c r="AH1329" s="354"/>
      <c r="AI1329" s="354"/>
      <c r="AJ1329" s="354"/>
      <c r="AK1329" s="354"/>
      <c r="AL1329" s="354"/>
      <c r="AM1329" s="354"/>
      <c r="AN1329" s="354"/>
      <c r="AO1329" s="354"/>
      <c r="AP1329" s="354"/>
      <c r="AQ1329" s="354"/>
      <c r="AR1329" s="354"/>
      <c r="AS1329" s="354"/>
      <c r="AT1329" s="354"/>
      <c r="AU1329" s="354"/>
      <c r="AV1329" s="354"/>
      <c r="AW1329" s="354"/>
    </row>
    <row r="1330" spans="1:49">
      <c r="A1330" s="354"/>
      <c r="B1330" s="354"/>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Y1330" s="354"/>
      <c r="Z1330" s="354"/>
      <c r="AA1330" s="354"/>
      <c r="AB1330" s="354"/>
      <c r="AC1330" s="354"/>
      <c r="AD1330" s="354"/>
      <c r="AE1330" s="354"/>
      <c r="AF1330" s="354"/>
      <c r="AG1330" s="354"/>
      <c r="AH1330" s="354"/>
      <c r="AI1330" s="354"/>
      <c r="AJ1330" s="354"/>
      <c r="AK1330" s="354"/>
      <c r="AL1330" s="354"/>
      <c r="AM1330" s="354"/>
      <c r="AN1330" s="354"/>
      <c r="AO1330" s="354"/>
      <c r="AP1330" s="354"/>
      <c r="AQ1330" s="354"/>
      <c r="AR1330" s="354"/>
      <c r="AS1330" s="354"/>
      <c r="AT1330" s="354"/>
      <c r="AU1330" s="354"/>
      <c r="AV1330" s="354"/>
      <c r="AW1330" s="354"/>
    </row>
    <row r="1331" spans="1:49">
      <c r="A1331" s="354"/>
      <c r="B1331" s="354"/>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Y1331" s="354"/>
      <c r="Z1331" s="354"/>
      <c r="AA1331" s="354"/>
      <c r="AB1331" s="354"/>
      <c r="AC1331" s="354"/>
      <c r="AD1331" s="354"/>
      <c r="AE1331" s="354"/>
      <c r="AF1331" s="354"/>
      <c r="AG1331" s="354"/>
      <c r="AH1331" s="354"/>
      <c r="AI1331" s="354"/>
      <c r="AJ1331" s="354"/>
      <c r="AK1331" s="354"/>
      <c r="AL1331" s="354"/>
      <c r="AM1331" s="354"/>
      <c r="AN1331" s="354"/>
      <c r="AO1331" s="354"/>
      <c r="AP1331" s="354"/>
      <c r="AQ1331" s="354"/>
      <c r="AR1331" s="354"/>
      <c r="AS1331" s="354"/>
      <c r="AT1331" s="354"/>
      <c r="AU1331" s="354"/>
      <c r="AV1331" s="354"/>
      <c r="AW1331" s="354"/>
    </row>
    <row r="1332" spans="1:49">
      <c r="A1332" s="354"/>
      <c r="B1332" s="354"/>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Y1332" s="354"/>
      <c r="Z1332" s="354"/>
      <c r="AA1332" s="354"/>
      <c r="AB1332" s="354"/>
      <c r="AC1332" s="354"/>
      <c r="AD1332" s="354"/>
      <c r="AE1332" s="354"/>
      <c r="AF1332" s="354"/>
      <c r="AG1332" s="354"/>
      <c r="AH1332" s="354"/>
      <c r="AI1332" s="354"/>
      <c r="AJ1332" s="354"/>
      <c r="AK1332" s="354"/>
      <c r="AL1332" s="354"/>
      <c r="AM1332" s="354"/>
      <c r="AN1332" s="354"/>
      <c r="AO1332" s="354"/>
      <c r="AP1332" s="354"/>
      <c r="AQ1332" s="354"/>
      <c r="AR1332" s="354"/>
      <c r="AS1332" s="354"/>
      <c r="AT1332" s="354"/>
      <c r="AU1332" s="354"/>
      <c r="AV1332" s="354"/>
      <c r="AW1332" s="354"/>
    </row>
    <row r="1333" spans="1:49">
      <c r="A1333" s="354"/>
      <c r="B1333" s="354"/>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Y1333" s="354"/>
      <c r="Z1333" s="354"/>
      <c r="AA1333" s="354"/>
      <c r="AB1333" s="354"/>
      <c r="AC1333" s="354"/>
      <c r="AD1333" s="354"/>
      <c r="AE1333" s="354"/>
      <c r="AF1333" s="354"/>
      <c r="AG1333" s="354"/>
      <c r="AH1333" s="354"/>
      <c r="AI1333" s="354"/>
      <c r="AJ1333" s="354"/>
      <c r="AK1333" s="354"/>
      <c r="AL1333" s="354"/>
      <c r="AM1333" s="354"/>
      <c r="AN1333" s="354"/>
      <c r="AO1333" s="354"/>
      <c r="AP1333" s="354"/>
      <c r="AQ1333" s="354"/>
      <c r="AR1333" s="354"/>
      <c r="AS1333" s="354"/>
      <c r="AT1333" s="354"/>
      <c r="AU1333" s="354"/>
      <c r="AV1333" s="354"/>
      <c r="AW1333" s="354"/>
    </row>
    <row r="1334" spans="1:49">
      <c r="A1334" s="354"/>
      <c r="B1334" s="354"/>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Y1334" s="354"/>
      <c r="Z1334" s="354"/>
      <c r="AA1334" s="354"/>
      <c r="AB1334" s="354"/>
      <c r="AC1334" s="354"/>
      <c r="AD1334" s="354"/>
      <c r="AE1334" s="354"/>
      <c r="AF1334" s="354"/>
      <c r="AG1334" s="354"/>
      <c r="AH1334" s="354"/>
      <c r="AI1334" s="354"/>
      <c r="AJ1334" s="354"/>
      <c r="AK1334" s="354"/>
      <c r="AL1334" s="354"/>
      <c r="AM1334" s="354"/>
      <c r="AN1334" s="354"/>
      <c r="AO1334" s="354"/>
      <c r="AP1334" s="354"/>
      <c r="AQ1334" s="354"/>
      <c r="AR1334" s="354"/>
      <c r="AS1334" s="354"/>
      <c r="AT1334" s="354"/>
      <c r="AU1334" s="354"/>
      <c r="AV1334" s="354"/>
      <c r="AW1334" s="354"/>
    </row>
    <row r="1335" spans="1:49">
      <c r="A1335" s="354"/>
      <c r="B1335" s="354"/>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Y1335" s="354"/>
      <c r="Z1335" s="354"/>
      <c r="AA1335" s="354"/>
      <c r="AB1335" s="354"/>
      <c r="AC1335" s="354"/>
      <c r="AD1335" s="354"/>
      <c r="AE1335" s="354"/>
      <c r="AF1335" s="354"/>
      <c r="AG1335" s="354"/>
      <c r="AH1335" s="354"/>
      <c r="AI1335" s="354"/>
      <c r="AJ1335" s="354"/>
      <c r="AK1335" s="354"/>
      <c r="AL1335" s="354"/>
      <c r="AM1335" s="354"/>
      <c r="AN1335" s="354"/>
      <c r="AO1335" s="354"/>
      <c r="AP1335" s="354"/>
      <c r="AQ1335" s="354"/>
      <c r="AR1335" s="354"/>
      <c r="AS1335" s="354"/>
      <c r="AT1335" s="354"/>
      <c r="AU1335" s="354"/>
      <c r="AV1335" s="354"/>
      <c r="AW1335" s="354"/>
    </row>
    <row r="1336" spans="1:49">
      <c r="A1336" s="354"/>
      <c r="B1336" s="354"/>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Y1336" s="354"/>
      <c r="Z1336" s="354"/>
      <c r="AA1336" s="354"/>
      <c r="AB1336" s="354"/>
      <c r="AC1336" s="354"/>
      <c r="AD1336" s="354"/>
      <c r="AE1336" s="354"/>
      <c r="AF1336" s="354"/>
      <c r="AG1336" s="354"/>
      <c r="AH1336" s="354"/>
      <c r="AI1336" s="354"/>
      <c r="AJ1336" s="354"/>
      <c r="AK1336" s="354"/>
      <c r="AL1336" s="354"/>
      <c r="AM1336" s="354"/>
      <c r="AN1336" s="354"/>
      <c r="AO1336" s="354"/>
      <c r="AP1336" s="354"/>
      <c r="AQ1336" s="354"/>
      <c r="AR1336" s="354"/>
      <c r="AS1336" s="354"/>
      <c r="AT1336" s="354"/>
      <c r="AU1336" s="354"/>
      <c r="AV1336" s="354"/>
      <c r="AW1336" s="354"/>
    </row>
    <row r="1337" spans="1:49">
      <c r="A1337" s="354"/>
      <c r="B1337" s="354"/>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Y1337" s="354"/>
      <c r="Z1337" s="354"/>
      <c r="AA1337" s="354"/>
      <c r="AB1337" s="354"/>
      <c r="AC1337" s="354"/>
      <c r="AD1337" s="354"/>
      <c r="AE1337" s="354"/>
      <c r="AF1337" s="354"/>
      <c r="AG1337" s="354"/>
      <c r="AH1337" s="354"/>
      <c r="AI1337" s="354"/>
      <c r="AJ1337" s="354"/>
      <c r="AK1337" s="354"/>
      <c r="AL1337" s="354"/>
      <c r="AM1337" s="354"/>
      <c r="AN1337" s="354"/>
      <c r="AO1337" s="354"/>
      <c r="AP1337" s="354"/>
      <c r="AQ1337" s="354"/>
      <c r="AR1337" s="354"/>
      <c r="AS1337" s="354"/>
      <c r="AT1337" s="354"/>
      <c r="AU1337" s="354"/>
      <c r="AV1337" s="354"/>
      <c r="AW1337" s="354"/>
    </row>
    <row r="1338" spans="1:49">
      <c r="A1338" s="354"/>
      <c r="B1338" s="354"/>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Y1338" s="354"/>
      <c r="Z1338" s="354"/>
      <c r="AA1338" s="354"/>
      <c r="AB1338" s="354"/>
      <c r="AC1338" s="354"/>
      <c r="AD1338" s="354"/>
      <c r="AE1338" s="354"/>
      <c r="AF1338" s="354"/>
      <c r="AG1338" s="354"/>
      <c r="AH1338" s="354"/>
      <c r="AI1338" s="354"/>
      <c r="AJ1338" s="354"/>
      <c r="AK1338" s="354"/>
      <c r="AL1338" s="354"/>
      <c r="AM1338" s="354"/>
      <c r="AN1338" s="354"/>
      <c r="AO1338" s="354"/>
      <c r="AP1338" s="354"/>
      <c r="AQ1338" s="354"/>
      <c r="AR1338" s="354"/>
      <c r="AS1338" s="354"/>
      <c r="AT1338" s="354"/>
      <c r="AU1338" s="354"/>
      <c r="AV1338" s="354"/>
      <c r="AW1338" s="354"/>
    </row>
    <row r="1339" spans="1:49">
      <c r="A1339" s="354"/>
      <c r="B1339" s="354"/>
      <c r="C1339" s="354"/>
      <c r="D1339" s="354"/>
      <c r="E1339" s="354"/>
      <c r="F1339" s="354"/>
      <c r="G1339" s="354"/>
      <c r="H1339" s="354"/>
      <c r="I1339" s="354"/>
      <c r="J1339" s="354"/>
      <c r="K1339" s="354"/>
      <c r="L1339" s="354"/>
      <c r="M1339" s="354"/>
      <c r="N1339" s="354"/>
      <c r="O1339" s="354"/>
      <c r="P1339" s="354"/>
      <c r="Q1339" s="354"/>
      <c r="R1339" s="354"/>
      <c r="S1339" s="354"/>
      <c r="T1339" s="354"/>
      <c r="U1339" s="354"/>
      <c r="V1339" s="354"/>
      <c r="W1339" s="354"/>
      <c r="X1339" s="354"/>
      <c r="Y1339" s="354"/>
      <c r="Z1339" s="354"/>
      <c r="AA1339" s="354"/>
      <c r="AB1339" s="354"/>
      <c r="AC1339" s="354"/>
      <c r="AD1339" s="354"/>
      <c r="AE1339" s="354"/>
      <c r="AF1339" s="354"/>
      <c r="AG1339" s="354"/>
      <c r="AH1339" s="354"/>
      <c r="AI1339" s="354"/>
      <c r="AJ1339" s="354"/>
      <c r="AK1339" s="354"/>
      <c r="AL1339" s="354"/>
      <c r="AM1339" s="354"/>
      <c r="AN1339" s="354"/>
      <c r="AO1339" s="354"/>
      <c r="AP1339" s="354"/>
      <c r="AQ1339" s="354"/>
      <c r="AR1339" s="354"/>
      <c r="AS1339" s="354"/>
      <c r="AT1339" s="354"/>
      <c r="AU1339" s="354"/>
      <c r="AV1339" s="354"/>
      <c r="AW1339" s="354"/>
    </row>
    <row r="1340" spans="1:49">
      <c r="A1340" s="354"/>
      <c r="B1340" s="354"/>
      <c r="C1340" s="354"/>
      <c r="D1340" s="354"/>
      <c r="E1340" s="354"/>
      <c r="F1340" s="354"/>
      <c r="G1340" s="354"/>
      <c r="H1340" s="354"/>
      <c r="I1340" s="354"/>
      <c r="J1340" s="354"/>
      <c r="K1340" s="354"/>
      <c r="L1340" s="354"/>
      <c r="M1340" s="354"/>
      <c r="N1340" s="354"/>
      <c r="O1340" s="354"/>
      <c r="P1340" s="354"/>
      <c r="Q1340" s="354"/>
      <c r="R1340" s="354"/>
      <c r="S1340" s="354"/>
      <c r="T1340" s="354"/>
      <c r="U1340" s="354"/>
      <c r="V1340" s="354"/>
      <c r="W1340" s="354"/>
      <c r="X1340" s="354"/>
      <c r="Y1340" s="354"/>
      <c r="Z1340" s="354"/>
      <c r="AA1340" s="354"/>
      <c r="AB1340" s="354"/>
      <c r="AC1340" s="354"/>
      <c r="AD1340" s="354"/>
      <c r="AE1340" s="354"/>
      <c r="AF1340" s="354"/>
      <c r="AG1340" s="354"/>
      <c r="AH1340" s="354"/>
      <c r="AI1340" s="354"/>
      <c r="AJ1340" s="354"/>
      <c r="AK1340" s="354"/>
      <c r="AL1340" s="354"/>
      <c r="AM1340" s="354"/>
      <c r="AN1340" s="354"/>
      <c r="AO1340" s="354"/>
      <c r="AP1340" s="354"/>
      <c r="AQ1340" s="354"/>
      <c r="AR1340" s="354"/>
      <c r="AS1340" s="354"/>
      <c r="AT1340" s="354"/>
      <c r="AU1340" s="354"/>
      <c r="AV1340" s="354"/>
      <c r="AW1340" s="354"/>
    </row>
    <row r="1341" spans="1:49">
      <c r="A1341" s="354"/>
      <c r="B1341" s="354"/>
      <c r="C1341" s="354"/>
      <c r="D1341" s="354"/>
      <c r="E1341" s="354"/>
      <c r="F1341" s="354"/>
      <c r="G1341" s="354"/>
      <c r="H1341" s="354"/>
      <c r="I1341" s="354"/>
      <c r="J1341" s="354"/>
      <c r="K1341" s="354"/>
      <c r="L1341" s="354"/>
      <c r="M1341" s="354"/>
      <c r="N1341" s="354"/>
      <c r="O1341" s="354"/>
      <c r="P1341" s="354"/>
      <c r="Q1341" s="354"/>
      <c r="R1341" s="354"/>
      <c r="S1341" s="354"/>
      <c r="T1341" s="354"/>
      <c r="U1341" s="354"/>
      <c r="V1341" s="354"/>
      <c r="W1341" s="354"/>
      <c r="X1341" s="354"/>
      <c r="Y1341" s="354"/>
      <c r="Z1341" s="354"/>
      <c r="AA1341" s="354"/>
      <c r="AB1341" s="354"/>
      <c r="AC1341" s="354"/>
      <c r="AD1341" s="354"/>
      <c r="AE1341" s="354"/>
      <c r="AF1341" s="354"/>
      <c r="AG1341" s="354"/>
      <c r="AH1341" s="354"/>
      <c r="AI1341" s="354"/>
      <c r="AJ1341" s="354"/>
      <c r="AK1341" s="354"/>
      <c r="AL1341" s="354"/>
      <c r="AM1341" s="354"/>
      <c r="AN1341" s="354"/>
      <c r="AO1341" s="354"/>
      <c r="AP1341" s="354"/>
      <c r="AQ1341" s="354"/>
      <c r="AR1341" s="354"/>
      <c r="AS1341" s="354"/>
      <c r="AT1341" s="354"/>
      <c r="AU1341" s="354"/>
      <c r="AV1341" s="354"/>
      <c r="AW1341" s="354"/>
    </row>
    <row r="1342" spans="1:49">
      <c r="A1342" s="354"/>
      <c r="B1342" s="354"/>
      <c r="C1342" s="354"/>
      <c r="D1342" s="354"/>
      <c r="E1342" s="354"/>
      <c r="F1342" s="354"/>
      <c r="G1342" s="354"/>
      <c r="H1342" s="354"/>
      <c r="I1342" s="354"/>
      <c r="J1342" s="354"/>
      <c r="K1342" s="354"/>
      <c r="L1342" s="354"/>
      <c r="M1342" s="354"/>
      <c r="N1342" s="354"/>
      <c r="O1342" s="354"/>
      <c r="P1342" s="354"/>
      <c r="Q1342" s="354"/>
      <c r="R1342" s="354"/>
      <c r="S1342" s="354"/>
      <c r="T1342" s="354"/>
      <c r="U1342" s="354"/>
      <c r="V1342" s="354"/>
      <c r="W1342" s="354"/>
      <c r="X1342" s="354"/>
      <c r="Y1342" s="354"/>
      <c r="Z1342" s="354"/>
      <c r="AA1342" s="354"/>
      <c r="AB1342" s="354"/>
      <c r="AC1342" s="354"/>
      <c r="AD1342" s="354"/>
      <c r="AE1342" s="354"/>
      <c r="AF1342" s="354"/>
      <c r="AG1342" s="354"/>
      <c r="AH1342" s="354"/>
      <c r="AI1342" s="354"/>
      <c r="AJ1342" s="354"/>
      <c r="AK1342" s="354"/>
      <c r="AL1342" s="354"/>
      <c r="AM1342" s="354"/>
      <c r="AN1342" s="354"/>
      <c r="AO1342" s="354"/>
      <c r="AP1342" s="354"/>
      <c r="AQ1342" s="354"/>
      <c r="AR1342" s="354"/>
      <c r="AS1342" s="354"/>
      <c r="AT1342" s="354"/>
      <c r="AU1342" s="354"/>
      <c r="AV1342" s="354"/>
      <c r="AW1342" s="354"/>
    </row>
    <row r="1343" spans="1:49">
      <c r="A1343" s="354"/>
      <c r="B1343" s="354"/>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Y1343" s="354"/>
      <c r="Z1343" s="354"/>
      <c r="AA1343" s="354"/>
      <c r="AB1343" s="354"/>
      <c r="AC1343" s="354"/>
      <c r="AD1343" s="354"/>
      <c r="AE1343" s="354"/>
      <c r="AF1343" s="354"/>
      <c r="AG1343" s="354"/>
      <c r="AH1343" s="354"/>
      <c r="AI1343" s="354"/>
      <c r="AJ1343" s="354"/>
      <c r="AK1343" s="354"/>
      <c r="AL1343" s="354"/>
      <c r="AM1343" s="354"/>
      <c r="AN1343" s="354"/>
      <c r="AO1343" s="354"/>
      <c r="AP1343" s="354"/>
      <c r="AQ1343" s="354"/>
      <c r="AR1343" s="354"/>
      <c r="AS1343" s="354"/>
      <c r="AT1343" s="354"/>
      <c r="AU1343" s="354"/>
      <c r="AV1343" s="354"/>
      <c r="AW1343" s="354"/>
    </row>
    <row r="1344" spans="1:49">
      <c r="A1344" s="354"/>
      <c r="B1344" s="354"/>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Y1344" s="354"/>
      <c r="Z1344" s="354"/>
      <c r="AA1344" s="354"/>
      <c r="AB1344" s="354"/>
      <c r="AC1344" s="354"/>
      <c r="AD1344" s="354"/>
      <c r="AE1344" s="354"/>
      <c r="AF1344" s="354"/>
      <c r="AG1344" s="354"/>
      <c r="AH1344" s="354"/>
      <c r="AI1344" s="354"/>
      <c r="AJ1344" s="354"/>
      <c r="AK1344" s="354"/>
      <c r="AL1344" s="354"/>
      <c r="AM1344" s="354"/>
      <c r="AN1344" s="354"/>
      <c r="AO1344" s="354"/>
      <c r="AP1344" s="354"/>
      <c r="AQ1344" s="354"/>
      <c r="AR1344" s="354"/>
      <c r="AS1344" s="354"/>
      <c r="AT1344" s="354"/>
      <c r="AU1344" s="354"/>
      <c r="AV1344" s="354"/>
      <c r="AW1344" s="354"/>
    </row>
    <row r="1345" spans="1:49">
      <c r="A1345" s="354"/>
      <c r="B1345" s="354"/>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Y1345" s="354"/>
      <c r="Z1345" s="354"/>
      <c r="AA1345" s="354"/>
      <c r="AB1345" s="354"/>
      <c r="AC1345" s="354"/>
      <c r="AD1345" s="354"/>
      <c r="AE1345" s="354"/>
      <c r="AF1345" s="354"/>
      <c r="AG1345" s="354"/>
      <c r="AH1345" s="354"/>
      <c r="AI1345" s="354"/>
      <c r="AJ1345" s="354"/>
      <c r="AK1345" s="354"/>
      <c r="AL1345" s="354"/>
      <c r="AM1345" s="354"/>
      <c r="AN1345" s="354"/>
      <c r="AO1345" s="354"/>
      <c r="AP1345" s="354"/>
      <c r="AQ1345" s="354"/>
      <c r="AR1345" s="354"/>
      <c r="AS1345" s="354"/>
      <c r="AT1345" s="354"/>
      <c r="AU1345" s="354"/>
      <c r="AV1345" s="354"/>
      <c r="AW1345" s="354"/>
    </row>
    <row r="1346" spans="1:49">
      <c r="A1346" s="354"/>
      <c r="B1346" s="354"/>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Y1346" s="354"/>
      <c r="Z1346" s="354"/>
      <c r="AA1346" s="354"/>
      <c r="AB1346" s="354"/>
      <c r="AC1346" s="354"/>
      <c r="AD1346" s="354"/>
      <c r="AE1346" s="354"/>
      <c r="AF1346" s="354"/>
      <c r="AG1346" s="354"/>
      <c r="AH1346" s="354"/>
      <c r="AI1346" s="354"/>
      <c r="AJ1346" s="354"/>
      <c r="AK1346" s="354"/>
      <c r="AL1346" s="354"/>
      <c r="AM1346" s="354"/>
      <c r="AN1346" s="354"/>
      <c r="AO1346" s="354"/>
      <c r="AP1346" s="354"/>
      <c r="AQ1346" s="354"/>
      <c r="AR1346" s="354"/>
      <c r="AS1346" s="354"/>
      <c r="AT1346" s="354"/>
      <c r="AU1346" s="354"/>
      <c r="AV1346" s="354"/>
      <c r="AW1346" s="354"/>
    </row>
    <row r="1347" spans="1:49">
      <c r="A1347" s="354"/>
      <c r="B1347" s="354"/>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Y1347" s="354"/>
      <c r="Z1347" s="354"/>
      <c r="AA1347" s="354"/>
      <c r="AB1347" s="354"/>
      <c r="AC1347" s="354"/>
      <c r="AD1347" s="354"/>
      <c r="AE1347" s="354"/>
      <c r="AF1347" s="354"/>
      <c r="AG1347" s="354"/>
      <c r="AH1347" s="354"/>
      <c r="AI1347" s="354"/>
      <c r="AJ1347" s="354"/>
      <c r="AK1347" s="354"/>
      <c r="AL1347" s="354"/>
      <c r="AM1347" s="354"/>
      <c r="AN1347" s="354"/>
      <c r="AO1347" s="354"/>
      <c r="AP1347" s="354"/>
      <c r="AQ1347" s="354"/>
      <c r="AR1347" s="354"/>
      <c r="AS1347" s="354"/>
      <c r="AT1347" s="354"/>
      <c r="AU1347" s="354"/>
      <c r="AV1347" s="354"/>
      <c r="AW1347" s="354"/>
    </row>
    <row r="1348" spans="1:49">
      <c r="A1348" s="354"/>
      <c r="B1348" s="354"/>
      <c r="C1348" s="354"/>
      <c r="D1348" s="354"/>
      <c r="E1348" s="354"/>
      <c r="F1348" s="354"/>
      <c r="G1348" s="354"/>
      <c r="H1348" s="354"/>
      <c r="I1348" s="354"/>
      <c r="J1348" s="354"/>
      <c r="K1348" s="354"/>
      <c r="L1348" s="354"/>
      <c r="M1348" s="354"/>
      <c r="N1348" s="354"/>
      <c r="O1348" s="354"/>
      <c r="P1348" s="354"/>
      <c r="Q1348" s="354"/>
      <c r="R1348" s="354"/>
      <c r="S1348" s="354"/>
      <c r="T1348" s="354"/>
      <c r="U1348" s="354"/>
      <c r="V1348" s="354"/>
      <c r="W1348" s="354"/>
      <c r="X1348" s="354"/>
      <c r="Y1348" s="354"/>
      <c r="Z1348" s="354"/>
      <c r="AA1348" s="354"/>
      <c r="AB1348" s="354"/>
      <c r="AC1348" s="354"/>
      <c r="AD1348" s="354"/>
      <c r="AE1348" s="354"/>
      <c r="AF1348" s="354"/>
      <c r="AG1348" s="354"/>
      <c r="AH1348" s="354"/>
      <c r="AI1348" s="354"/>
      <c r="AJ1348" s="354"/>
      <c r="AK1348" s="354"/>
      <c r="AL1348" s="354"/>
      <c r="AM1348" s="354"/>
      <c r="AN1348" s="354"/>
      <c r="AO1348" s="354"/>
      <c r="AP1348" s="354"/>
      <c r="AQ1348" s="354"/>
      <c r="AR1348" s="354"/>
      <c r="AS1348" s="354"/>
      <c r="AT1348" s="354"/>
      <c r="AU1348" s="354"/>
      <c r="AV1348" s="354"/>
      <c r="AW1348" s="354"/>
    </row>
    <row r="1349" spans="1:49">
      <c r="A1349" s="354"/>
      <c r="B1349" s="354"/>
      <c r="C1349" s="354"/>
      <c r="D1349" s="354"/>
      <c r="E1349" s="354"/>
      <c r="F1349" s="354"/>
      <c r="G1349" s="354"/>
      <c r="H1349" s="354"/>
      <c r="I1349" s="354"/>
      <c r="J1349" s="354"/>
      <c r="K1349" s="354"/>
      <c r="L1349" s="354"/>
      <c r="M1349" s="354"/>
      <c r="N1349" s="354"/>
      <c r="O1349" s="354"/>
      <c r="P1349" s="354"/>
      <c r="Q1349" s="354"/>
      <c r="R1349" s="354"/>
      <c r="S1349" s="354"/>
      <c r="T1349" s="354"/>
      <c r="U1349" s="354"/>
      <c r="V1349" s="354"/>
      <c r="W1349" s="354"/>
      <c r="X1349" s="354"/>
      <c r="Y1349" s="354"/>
      <c r="Z1349" s="354"/>
      <c r="AA1349" s="354"/>
      <c r="AB1349" s="354"/>
      <c r="AC1349" s="354"/>
      <c r="AD1349" s="354"/>
      <c r="AE1349" s="354"/>
      <c r="AF1349" s="354"/>
      <c r="AG1349" s="354"/>
      <c r="AH1349" s="354"/>
      <c r="AI1349" s="354"/>
      <c r="AJ1349" s="354"/>
      <c r="AK1349" s="354"/>
      <c r="AL1349" s="354"/>
      <c r="AM1349" s="354"/>
      <c r="AN1349" s="354"/>
      <c r="AO1349" s="354"/>
      <c r="AP1349" s="354"/>
      <c r="AQ1349" s="354"/>
      <c r="AR1349" s="354"/>
      <c r="AS1349" s="354"/>
      <c r="AT1349" s="354"/>
      <c r="AU1349" s="354"/>
      <c r="AV1349" s="354"/>
      <c r="AW1349" s="354"/>
    </row>
    <row r="1350" spans="1:49">
      <c r="A1350" s="354"/>
      <c r="B1350" s="354"/>
      <c r="C1350" s="354"/>
      <c r="D1350" s="354"/>
      <c r="E1350" s="354"/>
      <c r="F1350" s="354"/>
      <c r="G1350" s="354"/>
      <c r="H1350" s="354"/>
      <c r="I1350" s="354"/>
      <c r="J1350" s="354"/>
      <c r="K1350" s="354"/>
      <c r="L1350" s="354"/>
      <c r="M1350" s="354"/>
      <c r="N1350" s="354"/>
      <c r="O1350" s="354"/>
      <c r="P1350" s="354"/>
      <c r="Q1350" s="354"/>
      <c r="R1350" s="354"/>
      <c r="S1350" s="354"/>
      <c r="T1350" s="354"/>
      <c r="U1350" s="354"/>
      <c r="V1350" s="354"/>
      <c r="W1350" s="354"/>
      <c r="X1350" s="354"/>
      <c r="Y1350" s="354"/>
      <c r="Z1350" s="354"/>
      <c r="AA1350" s="354"/>
      <c r="AB1350" s="354"/>
      <c r="AC1350" s="354"/>
      <c r="AD1350" s="354"/>
      <c r="AE1350" s="354"/>
      <c r="AF1350" s="354"/>
      <c r="AG1350" s="354"/>
      <c r="AH1350" s="354"/>
      <c r="AI1350" s="354"/>
      <c r="AJ1350" s="354"/>
      <c r="AK1350" s="354"/>
      <c r="AL1350" s="354"/>
      <c r="AM1350" s="354"/>
      <c r="AN1350" s="354"/>
      <c r="AO1350" s="354"/>
      <c r="AP1350" s="354"/>
      <c r="AQ1350" s="354"/>
      <c r="AR1350" s="354"/>
      <c r="AS1350" s="354"/>
      <c r="AT1350" s="354"/>
      <c r="AU1350" s="354"/>
      <c r="AV1350" s="354"/>
      <c r="AW1350" s="354"/>
    </row>
    <row r="1351" spans="1:49">
      <c r="A1351" s="354"/>
      <c r="B1351" s="354"/>
      <c r="C1351" s="354"/>
      <c r="D1351" s="354"/>
      <c r="E1351" s="354"/>
      <c r="F1351" s="354"/>
      <c r="G1351" s="354"/>
      <c r="H1351" s="354"/>
      <c r="I1351" s="354"/>
      <c r="J1351" s="354"/>
      <c r="K1351" s="354"/>
      <c r="L1351" s="354"/>
      <c r="M1351" s="354"/>
      <c r="N1351" s="354"/>
      <c r="O1351" s="354"/>
      <c r="P1351" s="354"/>
      <c r="Q1351" s="354"/>
      <c r="R1351" s="354"/>
      <c r="S1351" s="354"/>
      <c r="T1351" s="354"/>
      <c r="U1351" s="354"/>
      <c r="V1351" s="354"/>
      <c r="W1351" s="354"/>
      <c r="X1351" s="354"/>
      <c r="Y1351" s="354"/>
      <c r="Z1351" s="354"/>
      <c r="AA1351" s="354"/>
      <c r="AB1351" s="354"/>
      <c r="AC1351" s="354"/>
      <c r="AD1351" s="354"/>
      <c r="AE1351" s="354"/>
      <c r="AF1351" s="354"/>
      <c r="AG1351" s="354"/>
      <c r="AH1351" s="354"/>
      <c r="AI1351" s="354"/>
      <c r="AJ1351" s="354"/>
      <c r="AK1351" s="354"/>
      <c r="AL1351" s="354"/>
      <c r="AM1351" s="354"/>
      <c r="AN1351" s="354"/>
      <c r="AO1351" s="354"/>
      <c r="AP1351" s="354"/>
      <c r="AQ1351" s="354"/>
      <c r="AR1351" s="354"/>
      <c r="AS1351" s="354"/>
      <c r="AT1351" s="354"/>
      <c r="AU1351" s="354"/>
      <c r="AV1351" s="354"/>
      <c r="AW1351" s="354"/>
    </row>
    <row r="1352" spans="1:49">
      <c r="A1352" s="354"/>
      <c r="B1352" s="354"/>
      <c r="C1352" s="354"/>
      <c r="D1352" s="354"/>
      <c r="E1352" s="354"/>
      <c r="F1352" s="354"/>
      <c r="G1352" s="354"/>
      <c r="H1352" s="354"/>
      <c r="I1352" s="354"/>
      <c r="J1352" s="354"/>
      <c r="K1352" s="354"/>
      <c r="L1352" s="354"/>
      <c r="M1352" s="354"/>
      <c r="N1352" s="354"/>
      <c r="O1352" s="354"/>
      <c r="P1352" s="354"/>
      <c r="Q1352" s="354"/>
      <c r="R1352" s="354"/>
      <c r="S1352" s="354"/>
      <c r="T1352" s="354"/>
      <c r="U1352" s="354"/>
      <c r="V1352" s="354"/>
      <c r="W1352" s="354"/>
      <c r="X1352" s="354"/>
      <c r="Y1352" s="354"/>
      <c r="Z1352" s="354"/>
      <c r="AA1352" s="354"/>
      <c r="AB1352" s="354"/>
      <c r="AC1352" s="354"/>
      <c r="AD1352" s="354"/>
      <c r="AE1352" s="354"/>
      <c r="AF1352" s="354"/>
      <c r="AG1352" s="354"/>
      <c r="AH1352" s="354"/>
      <c r="AI1352" s="354"/>
      <c r="AJ1352" s="354"/>
      <c r="AK1352" s="354"/>
      <c r="AL1352" s="354"/>
      <c r="AM1352" s="354"/>
      <c r="AN1352" s="354"/>
      <c r="AO1352" s="354"/>
      <c r="AP1352" s="354"/>
      <c r="AQ1352" s="354"/>
      <c r="AR1352" s="354"/>
      <c r="AS1352" s="354"/>
      <c r="AT1352" s="354"/>
      <c r="AU1352" s="354"/>
      <c r="AV1352" s="354"/>
      <c r="AW1352" s="354"/>
    </row>
    <row r="1353" spans="1:49">
      <c r="A1353" s="354"/>
      <c r="B1353" s="354"/>
      <c r="C1353" s="354"/>
      <c r="D1353" s="354"/>
      <c r="E1353" s="354"/>
      <c r="F1353" s="354"/>
      <c r="G1353" s="354"/>
      <c r="H1353" s="354"/>
      <c r="I1353" s="354"/>
      <c r="J1353" s="354"/>
      <c r="K1353" s="354"/>
      <c r="L1353" s="354"/>
      <c r="M1353" s="354"/>
      <c r="N1353" s="354"/>
      <c r="O1353" s="354"/>
      <c r="P1353" s="354"/>
      <c r="Q1353" s="354"/>
      <c r="R1353" s="354"/>
      <c r="S1353" s="354"/>
      <c r="T1353" s="354"/>
      <c r="U1353" s="354"/>
      <c r="V1353" s="354"/>
      <c r="W1353" s="354"/>
      <c r="X1353" s="354"/>
      <c r="Y1353" s="354"/>
      <c r="Z1353" s="354"/>
      <c r="AA1353" s="354"/>
      <c r="AB1353" s="354"/>
      <c r="AC1353" s="354"/>
      <c r="AD1353" s="354"/>
      <c r="AE1353" s="354"/>
      <c r="AF1353" s="354"/>
      <c r="AG1353" s="354"/>
      <c r="AH1353" s="354"/>
      <c r="AI1353" s="354"/>
      <c r="AJ1353" s="354"/>
      <c r="AK1353" s="354"/>
      <c r="AL1353" s="354"/>
      <c r="AM1353" s="354"/>
      <c r="AN1353" s="354"/>
      <c r="AO1353" s="354"/>
      <c r="AP1353" s="354"/>
      <c r="AQ1353" s="354"/>
      <c r="AR1353" s="354"/>
      <c r="AS1353" s="354"/>
      <c r="AT1353" s="354"/>
      <c r="AU1353" s="354"/>
      <c r="AV1353" s="354"/>
      <c r="AW1353" s="354"/>
    </row>
    <row r="1354" spans="1:49">
      <c r="A1354" s="354"/>
      <c r="B1354" s="354"/>
      <c r="C1354" s="354"/>
      <c r="D1354" s="354"/>
      <c r="E1354" s="354"/>
      <c r="F1354" s="354"/>
      <c r="G1354" s="354"/>
      <c r="H1354" s="354"/>
      <c r="I1354" s="354"/>
      <c r="J1354" s="354"/>
      <c r="K1354" s="354"/>
      <c r="L1354" s="354"/>
      <c r="M1354" s="354"/>
      <c r="N1354" s="354"/>
      <c r="O1354" s="354"/>
      <c r="P1354" s="354"/>
      <c r="Q1354" s="354"/>
      <c r="R1354" s="354"/>
      <c r="S1354" s="354"/>
      <c r="T1354" s="354"/>
      <c r="U1354" s="354"/>
      <c r="V1354" s="354"/>
      <c r="W1354" s="354"/>
      <c r="X1354" s="354"/>
      <c r="Y1354" s="354"/>
      <c r="Z1354" s="354"/>
      <c r="AA1354" s="354"/>
      <c r="AB1354" s="354"/>
      <c r="AC1354" s="354"/>
      <c r="AD1354" s="354"/>
      <c r="AE1354" s="354"/>
      <c r="AF1354" s="354"/>
      <c r="AG1354" s="354"/>
      <c r="AH1354" s="354"/>
      <c r="AI1354" s="354"/>
      <c r="AJ1354" s="354"/>
      <c r="AK1354" s="354"/>
      <c r="AL1354" s="354"/>
      <c r="AM1354" s="354"/>
      <c r="AN1354" s="354"/>
      <c r="AO1354" s="354"/>
      <c r="AP1354" s="354"/>
      <c r="AQ1354" s="354"/>
      <c r="AR1354" s="354"/>
      <c r="AS1354" s="354"/>
      <c r="AT1354" s="354"/>
      <c r="AU1354" s="354"/>
      <c r="AV1354" s="354"/>
      <c r="AW1354" s="354"/>
    </row>
    <row r="1355" spans="1:49">
      <c r="A1355" s="354"/>
      <c r="B1355" s="354"/>
      <c r="C1355" s="354"/>
      <c r="D1355" s="354"/>
      <c r="E1355" s="354"/>
      <c r="F1355" s="354"/>
      <c r="G1355" s="354"/>
      <c r="H1355" s="354"/>
      <c r="I1355" s="354"/>
      <c r="J1355" s="354"/>
      <c r="K1355" s="354"/>
      <c r="L1355" s="354"/>
      <c r="M1355" s="354"/>
      <c r="N1355" s="354"/>
      <c r="O1355" s="354"/>
      <c r="P1355" s="354"/>
      <c r="Q1355" s="354"/>
      <c r="R1355" s="354"/>
      <c r="S1355" s="354"/>
      <c r="T1355" s="354"/>
      <c r="U1355" s="354"/>
      <c r="V1355" s="354"/>
      <c r="W1355" s="354"/>
      <c r="X1355" s="354"/>
      <c r="Y1355" s="354"/>
      <c r="Z1355" s="354"/>
      <c r="AA1355" s="354"/>
      <c r="AB1355" s="354"/>
      <c r="AC1355" s="354"/>
      <c r="AD1355" s="354"/>
      <c r="AE1355" s="354"/>
      <c r="AF1355" s="354"/>
      <c r="AG1355" s="354"/>
      <c r="AH1355" s="354"/>
      <c r="AI1355" s="354"/>
      <c r="AJ1355" s="354"/>
      <c r="AK1355" s="354"/>
      <c r="AL1355" s="354"/>
      <c r="AM1355" s="354"/>
      <c r="AN1355" s="354"/>
      <c r="AO1355" s="354"/>
      <c r="AP1355" s="354"/>
      <c r="AQ1355" s="354"/>
      <c r="AR1355" s="354"/>
      <c r="AS1355" s="354"/>
      <c r="AT1355" s="354"/>
      <c r="AU1355" s="354"/>
      <c r="AV1355" s="354"/>
      <c r="AW1355" s="354"/>
    </row>
    <row r="1356" spans="1:49">
      <c r="A1356" s="354"/>
      <c r="B1356" s="354"/>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Y1356" s="354"/>
      <c r="Z1356" s="354"/>
      <c r="AA1356" s="354"/>
      <c r="AB1356" s="354"/>
      <c r="AC1356" s="354"/>
      <c r="AD1356" s="354"/>
      <c r="AE1356" s="354"/>
      <c r="AF1356" s="354"/>
      <c r="AG1356" s="354"/>
      <c r="AH1356" s="354"/>
      <c r="AI1356" s="354"/>
      <c r="AJ1356" s="354"/>
      <c r="AK1356" s="354"/>
      <c r="AL1356" s="354"/>
      <c r="AM1356" s="354"/>
      <c r="AN1356" s="354"/>
      <c r="AO1356" s="354"/>
      <c r="AP1356" s="354"/>
      <c r="AQ1356" s="354"/>
      <c r="AR1356" s="354"/>
      <c r="AS1356" s="354"/>
      <c r="AT1356" s="354"/>
      <c r="AU1356" s="354"/>
      <c r="AV1356" s="354"/>
      <c r="AW1356" s="354"/>
    </row>
    <row r="1357" spans="1:49">
      <c r="A1357" s="354"/>
      <c r="B1357" s="354"/>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Y1357" s="354"/>
      <c r="Z1357" s="354"/>
      <c r="AA1357" s="354"/>
      <c r="AB1357" s="354"/>
      <c r="AC1357" s="354"/>
      <c r="AD1357" s="354"/>
      <c r="AE1357" s="354"/>
      <c r="AF1357" s="354"/>
      <c r="AG1357" s="354"/>
      <c r="AH1357" s="354"/>
      <c r="AI1357" s="354"/>
      <c r="AJ1357" s="354"/>
      <c r="AK1357" s="354"/>
      <c r="AL1357" s="354"/>
      <c r="AM1357" s="354"/>
      <c r="AN1357" s="354"/>
      <c r="AO1357" s="354"/>
      <c r="AP1357" s="354"/>
      <c r="AQ1357" s="354"/>
      <c r="AR1357" s="354"/>
      <c r="AS1357" s="354"/>
      <c r="AT1357" s="354"/>
      <c r="AU1357" s="354"/>
      <c r="AV1357" s="354"/>
      <c r="AW1357" s="354"/>
    </row>
    <row r="1358" spans="1:49">
      <c r="A1358" s="354"/>
      <c r="B1358" s="354"/>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c r="Y1358" s="354"/>
      <c r="Z1358" s="354"/>
      <c r="AA1358" s="354"/>
      <c r="AB1358" s="354"/>
      <c r="AC1358" s="354"/>
      <c r="AD1358" s="354"/>
      <c r="AE1358" s="354"/>
      <c r="AF1358" s="354"/>
      <c r="AG1358" s="354"/>
      <c r="AH1358" s="354"/>
      <c r="AI1358" s="354"/>
      <c r="AJ1358" s="354"/>
      <c r="AK1358" s="354"/>
      <c r="AL1358" s="354"/>
      <c r="AM1358" s="354"/>
      <c r="AN1358" s="354"/>
      <c r="AO1358" s="354"/>
      <c r="AP1358" s="354"/>
      <c r="AQ1358" s="354"/>
      <c r="AR1358" s="354"/>
      <c r="AS1358" s="354"/>
      <c r="AT1358" s="354"/>
      <c r="AU1358" s="354"/>
      <c r="AV1358" s="354"/>
      <c r="AW1358" s="354"/>
    </row>
    <row r="1359" spans="1:49">
      <c r="A1359" s="354"/>
      <c r="B1359" s="354"/>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c r="Y1359" s="354"/>
      <c r="Z1359" s="354"/>
      <c r="AA1359" s="354"/>
      <c r="AB1359" s="354"/>
      <c r="AC1359" s="354"/>
      <c r="AD1359" s="354"/>
      <c r="AE1359" s="354"/>
      <c r="AF1359" s="354"/>
      <c r="AG1359" s="354"/>
      <c r="AH1359" s="354"/>
      <c r="AI1359" s="354"/>
      <c r="AJ1359" s="354"/>
      <c r="AK1359" s="354"/>
      <c r="AL1359" s="354"/>
      <c r="AM1359" s="354"/>
      <c r="AN1359" s="354"/>
      <c r="AO1359" s="354"/>
      <c r="AP1359" s="354"/>
      <c r="AQ1359" s="354"/>
      <c r="AR1359" s="354"/>
      <c r="AS1359" s="354"/>
      <c r="AT1359" s="354"/>
      <c r="AU1359" s="354"/>
      <c r="AV1359" s="354"/>
      <c r="AW1359" s="354"/>
    </row>
    <row r="1360" spans="1:49">
      <c r="A1360" s="354"/>
      <c r="B1360" s="354"/>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c r="Y1360" s="354"/>
      <c r="Z1360" s="354"/>
      <c r="AA1360" s="354"/>
      <c r="AB1360" s="354"/>
      <c r="AC1360" s="354"/>
      <c r="AD1360" s="354"/>
      <c r="AE1360" s="354"/>
      <c r="AF1360" s="354"/>
      <c r="AG1360" s="354"/>
      <c r="AH1360" s="354"/>
      <c r="AI1360" s="354"/>
      <c r="AJ1360" s="354"/>
      <c r="AK1360" s="354"/>
      <c r="AL1360" s="354"/>
      <c r="AM1360" s="354"/>
      <c r="AN1360" s="354"/>
      <c r="AO1360" s="354"/>
      <c r="AP1360" s="354"/>
      <c r="AQ1360" s="354"/>
      <c r="AR1360" s="354"/>
      <c r="AS1360" s="354"/>
      <c r="AT1360" s="354"/>
      <c r="AU1360" s="354"/>
      <c r="AV1360" s="354"/>
      <c r="AW1360" s="354"/>
    </row>
    <row r="1361" spans="1:49">
      <c r="A1361" s="354"/>
      <c r="B1361" s="354"/>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c r="Y1361" s="354"/>
      <c r="Z1361" s="354"/>
      <c r="AA1361" s="354"/>
      <c r="AB1361" s="354"/>
      <c r="AC1361" s="354"/>
      <c r="AD1361" s="354"/>
      <c r="AE1361" s="354"/>
      <c r="AF1361" s="354"/>
      <c r="AG1361" s="354"/>
      <c r="AH1361" s="354"/>
      <c r="AI1361" s="354"/>
      <c r="AJ1361" s="354"/>
      <c r="AK1361" s="354"/>
      <c r="AL1361" s="354"/>
      <c r="AM1361" s="354"/>
      <c r="AN1361" s="354"/>
      <c r="AO1361" s="354"/>
      <c r="AP1361" s="354"/>
      <c r="AQ1361" s="354"/>
      <c r="AR1361" s="354"/>
      <c r="AS1361" s="354"/>
      <c r="AT1361" s="354"/>
      <c r="AU1361" s="354"/>
      <c r="AV1361" s="354"/>
      <c r="AW1361" s="354"/>
    </row>
    <row r="1362" spans="1:49">
      <c r="A1362" s="354"/>
      <c r="B1362" s="354"/>
      <c r="C1362" s="354"/>
      <c r="D1362" s="354"/>
      <c r="E1362" s="354"/>
      <c r="F1362" s="354"/>
      <c r="G1362" s="354"/>
      <c r="H1362" s="354"/>
      <c r="I1362" s="354"/>
      <c r="J1362" s="354"/>
      <c r="K1362" s="354"/>
      <c r="L1362" s="354"/>
      <c r="M1362" s="354"/>
      <c r="N1362" s="354"/>
      <c r="O1362" s="354"/>
      <c r="P1362" s="354"/>
      <c r="Q1362" s="354"/>
      <c r="R1362" s="354"/>
      <c r="S1362" s="354"/>
      <c r="T1362" s="354"/>
      <c r="U1362" s="354"/>
      <c r="V1362" s="354"/>
      <c r="W1362" s="354"/>
      <c r="X1362" s="354"/>
      <c r="Y1362" s="354"/>
      <c r="Z1362" s="354"/>
      <c r="AA1362" s="354"/>
      <c r="AB1362" s="354"/>
      <c r="AC1362" s="354"/>
      <c r="AD1362" s="354"/>
      <c r="AE1362" s="354"/>
      <c r="AF1362" s="354"/>
      <c r="AG1362" s="354"/>
      <c r="AH1362" s="354"/>
      <c r="AI1362" s="354"/>
      <c r="AJ1362" s="354"/>
      <c r="AK1362" s="354"/>
      <c r="AL1362" s="354"/>
      <c r="AM1362" s="354"/>
      <c r="AN1362" s="354"/>
      <c r="AO1362" s="354"/>
      <c r="AP1362" s="354"/>
      <c r="AQ1362" s="354"/>
      <c r="AR1362" s="354"/>
      <c r="AS1362" s="354"/>
      <c r="AT1362" s="354"/>
      <c r="AU1362" s="354"/>
      <c r="AV1362" s="354"/>
      <c r="AW1362" s="354"/>
    </row>
    <row r="1363" spans="1:49">
      <c r="A1363" s="354"/>
      <c r="B1363" s="354"/>
      <c r="C1363" s="354"/>
      <c r="D1363" s="354"/>
      <c r="E1363" s="354"/>
      <c r="F1363" s="354"/>
      <c r="G1363" s="354"/>
      <c r="H1363" s="354"/>
      <c r="I1363" s="354"/>
      <c r="J1363" s="354"/>
      <c r="K1363" s="354"/>
      <c r="L1363" s="354"/>
      <c r="M1363" s="354"/>
      <c r="N1363" s="354"/>
      <c r="O1363" s="354"/>
      <c r="P1363" s="354"/>
      <c r="Q1363" s="354"/>
      <c r="R1363" s="354"/>
      <c r="S1363" s="354"/>
      <c r="T1363" s="354"/>
      <c r="U1363" s="354"/>
      <c r="V1363" s="354"/>
      <c r="W1363" s="354"/>
      <c r="X1363" s="354"/>
      <c r="Y1363" s="354"/>
      <c r="Z1363" s="354"/>
      <c r="AA1363" s="354"/>
      <c r="AB1363" s="354"/>
      <c r="AC1363" s="354"/>
      <c r="AD1363" s="354"/>
      <c r="AE1363" s="354"/>
      <c r="AF1363" s="354"/>
      <c r="AG1363" s="354"/>
      <c r="AH1363" s="354"/>
      <c r="AI1363" s="354"/>
      <c r="AJ1363" s="354"/>
      <c r="AK1363" s="354"/>
      <c r="AL1363" s="354"/>
      <c r="AM1363" s="354"/>
      <c r="AN1363" s="354"/>
      <c r="AO1363" s="354"/>
      <c r="AP1363" s="354"/>
      <c r="AQ1363" s="354"/>
      <c r="AR1363" s="354"/>
      <c r="AS1363" s="354"/>
      <c r="AT1363" s="354"/>
      <c r="AU1363" s="354"/>
      <c r="AV1363" s="354"/>
      <c r="AW1363" s="354"/>
    </row>
    <row r="1364" spans="1:49">
      <c r="A1364" s="354"/>
      <c r="B1364" s="354"/>
      <c r="C1364" s="354"/>
      <c r="D1364" s="354"/>
      <c r="E1364" s="354"/>
      <c r="F1364" s="354"/>
      <c r="G1364" s="354"/>
      <c r="H1364" s="354"/>
      <c r="I1364" s="354"/>
      <c r="J1364" s="354"/>
      <c r="K1364" s="354"/>
      <c r="L1364" s="354"/>
      <c r="M1364" s="354"/>
      <c r="N1364" s="354"/>
      <c r="O1364" s="354"/>
      <c r="P1364" s="354"/>
      <c r="Q1364" s="354"/>
      <c r="R1364" s="354"/>
      <c r="S1364" s="354"/>
      <c r="T1364" s="354"/>
      <c r="U1364" s="354"/>
      <c r="V1364" s="354"/>
      <c r="W1364" s="354"/>
      <c r="X1364" s="354"/>
      <c r="Y1364" s="354"/>
      <c r="Z1364" s="354"/>
      <c r="AA1364" s="354"/>
      <c r="AB1364" s="354"/>
      <c r="AC1364" s="354"/>
      <c r="AD1364" s="354"/>
      <c r="AE1364" s="354"/>
      <c r="AF1364" s="354"/>
      <c r="AG1364" s="354"/>
      <c r="AH1364" s="354"/>
      <c r="AI1364" s="354"/>
      <c r="AJ1364" s="354"/>
      <c r="AK1364" s="354"/>
      <c r="AL1364" s="354"/>
      <c r="AM1364" s="354"/>
      <c r="AN1364" s="354"/>
      <c r="AO1364" s="354"/>
      <c r="AP1364" s="354"/>
      <c r="AQ1364" s="354"/>
      <c r="AR1364" s="354"/>
      <c r="AS1364" s="354"/>
      <c r="AT1364" s="354"/>
      <c r="AU1364" s="354"/>
      <c r="AV1364" s="354"/>
      <c r="AW1364" s="354"/>
    </row>
    <row r="1365" spans="1:49">
      <c r="A1365" s="354"/>
      <c r="B1365" s="354"/>
      <c r="C1365" s="354"/>
      <c r="D1365" s="354"/>
      <c r="E1365" s="354"/>
      <c r="F1365" s="354"/>
      <c r="G1365" s="354"/>
      <c r="H1365" s="354"/>
      <c r="I1365" s="354"/>
      <c r="J1365" s="354"/>
      <c r="K1365" s="354"/>
      <c r="L1365" s="354"/>
      <c r="M1365" s="354"/>
      <c r="N1365" s="354"/>
      <c r="O1365" s="354"/>
      <c r="P1365" s="354"/>
      <c r="Q1365" s="354"/>
      <c r="R1365" s="354"/>
      <c r="S1365" s="354"/>
      <c r="T1365" s="354"/>
      <c r="U1365" s="354"/>
      <c r="V1365" s="354"/>
      <c r="W1365" s="354"/>
      <c r="X1365" s="354"/>
      <c r="Y1365" s="354"/>
      <c r="Z1365" s="354"/>
      <c r="AA1365" s="354"/>
      <c r="AB1365" s="354"/>
      <c r="AC1365" s="354"/>
      <c r="AD1365" s="354"/>
      <c r="AE1365" s="354"/>
      <c r="AF1365" s="354"/>
      <c r="AG1365" s="354"/>
      <c r="AH1365" s="354"/>
      <c r="AI1365" s="354"/>
      <c r="AJ1365" s="354"/>
      <c r="AK1365" s="354"/>
      <c r="AL1365" s="354"/>
      <c r="AM1365" s="354"/>
      <c r="AN1365" s="354"/>
      <c r="AO1365" s="354"/>
      <c r="AP1365" s="354"/>
      <c r="AQ1365" s="354"/>
      <c r="AR1365" s="354"/>
      <c r="AS1365" s="354"/>
      <c r="AT1365" s="354"/>
      <c r="AU1365" s="354"/>
      <c r="AV1365" s="354"/>
      <c r="AW1365" s="354"/>
    </row>
    <row r="1366" spans="1:49">
      <c r="A1366" s="354"/>
      <c r="B1366" s="354"/>
      <c r="C1366" s="354"/>
      <c r="D1366" s="354"/>
      <c r="E1366" s="354"/>
      <c r="F1366" s="354"/>
      <c r="G1366" s="354"/>
      <c r="H1366" s="354"/>
      <c r="I1366" s="354"/>
      <c r="J1366" s="354"/>
      <c r="K1366" s="354"/>
      <c r="L1366" s="354"/>
      <c r="M1366" s="354"/>
      <c r="N1366" s="354"/>
      <c r="O1366" s="354"/>
      <c r="P1366" s="354"/>
      <c r="Q1366" s="354"/>
      <c r="R1366" s="354"/>
      <c r="S1366" s="354"/>
      <c r="T1366" s="354"/>
      <c r="U1366" s="354"/>
      <c r="V1366" s="354"/>
      <c r="W1366" s="354"/>
      <c r="X1366" s="354"/>
      <c r="Y1366" s="354"/>
      <c r="Z1366" s="354"/>
      <c r="AA1366" s="354"/>
      <c r="AB1366" s="354"/>
      <c r="AC1366" s="354"/>
      <c r="AD1366" s="354"/>
      <c r="AE1366" s="354"/>
      <c r="AF1366" s="354"/>
      <c r="AG1366" s="354"/>
      <c r="AH1366" s="354"/>
      <c r="AI1366" s="354"/>
      <c r="AJ1366" s="354"/>
      <c r="AK1366" s="354"/>
      <c r="AL1366" s="354"/>
      <c r="AM1366" s="354"/>
      <c r="AN1366" s="354"/>
      <c r="AO1366" s="354"/>
      <c r="AP1366" s="354"/>
      <c r="AQ1366" s="354"/>
      <c r="AR1366" s="354"/>
      <c r="AS1366" s="354"/>
      <c r="AT1366" s="354"/>
      <c r="AU1366" s="354"/>
      <c r="AV1366" s="354"/>
      <c r="AW1366" s="354"/>
    </row>
    <row r="1367" spans="1:49">
      <c r="A1367" s="354"/>
      <c r="B1367" s="354"/>
      <c r="C1367" s="354"/>
      <c r="D1367" s="354"/>
      <c r="E1367" s="354"/>
      <c r="F1367" s="354"/>
      <c r="G1367" s="354"/>
      <c r="H1367" s="354"/>
      <c r="I1367" s="354"/>
      <c r="J1367" s="354"/>
      <c r="K1367" s="354"/>
      <c r="L1367" s="354"/>
      <c r="M1367" s="354"/>
      <c r="N1367" s="354"/>
      <c r="O1367" s="354"/>
      <c r="P1367" s="354"/>
      <c r="Q1367" s="354"/>
      <c r="R1367" s="354"/>
      <c r="S1367" s="354"/>
      <c r="T1367" s="354"/>
      <c r="U1367" s="354"/>
      <c r="V1367" s="354"/>
      <c r="W1367" s="354"/>
      <c r="X1367" s="354"/>
      <c r="Y1367" s="354"/>
      <c r="Z1367" s="354"/>
      <c r="AA1367" s="354"/>
      <c r="AB1367" s="354"/>
      <c r="AC1367" s="354"/>
      <c r="AD1367" s="354"/>
      <c r="AE1367" s="354"/>
      <c r="AF1367" s="354"/>
      <c r="AG1367" s="354"/>
      <c r="AH1367" s="354"/>
      <c r="AI1367" s="354"/>
      <c r="AJ1367" s="354"/>
      <c r="AK1367" s="354"/>
      <c r="AL1367" s="354"/>
      <c r="AM1367" s="354"/>
      <c r="AN1367" s="354"/>
      <c r="AO1367" s="354"/>
      <c r="AP1367" s="354"/>
      <c r="AQ1367" s="354"/>
      <c r="AR1367" s="354"/>
      <c r="AS1367" s="354"/>
      <c r="AT1367" s="354"/>
      <c r="AU1367" s="354"/>
      <c r="AV1367" s="354"/>
      <c r="AW1367" s="354"/>
    </row>
    <row r="1368" spans="1:49">
      <c r="A1368" s="354"/>
      <c r="B1368" s="354"/>
      <c r="C1368" s="354"/>
      <c r="D1368" s="354"/>
      <c r="E1368" s="354"/>
      <c r="F1368" s="354"/>
      <c r="G1368" s="354"/>
      <c r="H1368" s="354"/>
      <c r="I1368" s="354"/>
      <c r="J1368" s="354"/>
      <c r="K1368" s="354"/>
      <c r="L1368" s="354"/>
      <c r="M1368" s="354"/>
      <c r="N1368" s="354"/>
      <c r="O1368" s="354"/>
      <c r="P1368" s="354"/>
      <c r="Q1368" s="354"/>
      <c r="R1368" s="354"/>
      <c r="S1368" s="354"/>
      <c r="T1368" s="354"/>
      <c r="U1368" s="354"/>
      <c r="V1368" s="354"/>
      <c r="W1368" s="354"/>
      <c r="X1368" s="354"/>
      <c r="Y1368" s="354"/>
      <c r="Z1368" s="354"/>
      <c r="AA1368" s="354"/>
      <c r="AB1368" s="354"/>
      <c r="AC1368" s="354"/>
      <c r="AD1368" s="354"/>
      <c r="AE1368" s="354"/>
      <c r="AF1368" s="354"/>
      <c r="AG1368" s="354"/>
      <c r="AH1368" s="354"/>
      <c r="AI1368" s="354"/>
      <c r="AJ1368" s="354"/>
      <c r="AK1368" s="354"/>
      <c r="AL1368" s="354"/>
      <c r="AM1368" s="354"/>
      <c r="AN1368" s="354"/>
      <c r="AO1368" s="354"/>
      <c r="AP1368" s="354"/>
      <c r="AQ1368" s="354"/>
      <c r="AR1368" s="354"/>
      <c r="AS1368" s="354"/>
      <c r="AT1368" s="354"/>
      <c r="AU1368" s="354"/>
      <c r="AV1368" s="354"/>
      <c r="AW1368" s="354"/>
    </row>
    <row r="1369" spans="1:49">
      <c r="A1369" s="354"/>
      <c r="B1369" s="354"/>
      <c r="C1369" s="354"/>
      <c r="D1369" s="354"/>
      <c r="E1369" s="354"/>
      <c r="F1369" s="354"/>
      <c r="G1369" s="354"/>
      <c r="H1369" s="354"/>
      <c r="I1369" s="354"/>
      <c r="J1369" s="354"/>
      <c r="K1369" s="354"/>
      <c r="L1369" s="354"/>
      <c r="M1369" s="354"/>
      <c r="N1369" s="354"/>
      <c r="O1369" s="354"/>
      <c r="P1369" s="354"/>
      <c r="Q1369" s="354"/>
      <c r="R1369" s="354"/>
      <c r="S1369" s="354"/>
      <c r="T1369" s="354"/>
      <c r="U1369" s="354"/>
      <c r="V1369" s="354"/>
      <c r="W1369" s="354"/>
      <c r="X1369" s="354"/>
      <c r="Y1369" s="354"/>
      <c r="Z1369" s="354"/>
      <c r="AA1369" s="354"/>
      <c r="AB1369" s="354"/>
      <c r="AC1369" s="354"/>
      <c r="AD1369" s="354"/>
      <c r="AE1369" s="354"/>
      <c r="AF1369" s="354"/>
      <c r="AG1369" s="354"/>
      <c r="AH1369" s="354"/>
      <c r="AI1369" s="354"/>
      <c r="AJ1369" s="354"/>
      <c r="AK1369" s="354"/>
      <c r="AL1369" s="354"/>
      <c r="AM1369" s="354"/>
      <c r="AN1369" s="354"/>
      <c r="AO1369" s="354"/>
      <c r="AP1369" s="354"/>
      <c r="AQ1369" s="354"/>
      <c r="AR1369" s="354"/>
      <c r="AS1369" s="354"/>
      <c r="AT1369" s="354"/>
      <c r="AU1369" s="354"/>
      <c r="AV1369" s="354"/>
      <c r="AW1369" s="354"/>
    </row>
    <row r="1370" spans="1:49">
      <c r="A1370" s="354"/>
      <c r="B1370" s="354"/>
      <c r="C1370" s="354"/>
      <c r="D1370" s="354"/>
      <c r="E1370" s="354"/>
      <c r="F1370" s="354"/>
      <c r="G1370" s="354"/>
      <c r="H1370" s="354"/>
      <c r="I1370" s="354"/>
      <c r="J1370" s="354"/>
      <c r="K1370" s="354"/>
      <c r="L1370" s="354"/>
      <c r="M1370" s="354"/>
      <c r="N1370" s="354"/>
      <c r="O1370" s="354"/>
      <c r="P1370" s="354"/>
      <c r="Q1370" s="354"/>
      <c r="R1370" s="354"/>
      <c r="S1370" s="354"/>
      <c r="T1370" s="354"/>
      <c r="U1370" s="354"/>
      <c r="V1370" s="354"/>
      <c r="W1370" s="354"/>
      <c r="X1370" s="354"/>
      <c r="Y1370" s="354"/>
      <c r="Z1370" s="354"/>
      <c r="AA1370" s="354"/>
      <c r="AB1370" s="354"/>
      <c r="AC1370" s="354"/>
      <c r="AD1370" s="354"/>
      <c r="AE1370" s="354"/>
      <c r="AF1370" s="354"/>
      <c r="AG1370" s="354"/>
      <c r="AH1370" s="354"/>
      <c r="AI1370" s="354"/>
      <c r="AJ1370" s="354"/>
      <c r="AK1370" s="354"/>
      <c r="AL1370" s="354"/>
      <c r="AM1370" s="354"/>
      <c r="AN1370" s="354"/>
      <c r="AO1370" s="354"/>
      <c r="AP1370" s="354"/>
      <c r="AQ1370" s="354"/>
      <c r="AR1370" s="354"/>
      <c r="AS1370" s="354"/>
      <c r="AT1370" s="354"/>
      <c r="AU1370" s="354"/>
      <c r="AV1370" s="354"/>
      <c r="AW1370" s="354"/>
    </row>
    <row r="1371" spans="1:49">
      <c r="A1371" s="354"/>
      <c r="B1371" s="354"/>
      <c r="C1371" s="354"/>
      <c r="D1371" s="354"/>
      <c r="E1371" s="354"/>
      <c r="F1371" s="354"/>
      <c r="G1371" s="354"/>
      <c r="H1371" s="354"/>
      <c r="I1371" s="354"/>
      <c r="J1371" s="354"/>
      <c r="K1371" s="354"/>
      <c r="L1371" s="354"/>
      <c r="M1371" s="354"/>
      <c r="N1371" s="354"/>
      <c r="O1371" s="354"/>
      <c r="P1371" s="354"/>
      <c r="Q1371" s="354"/>
      <c r="R1371" s="354"/>
      <c r="S1371" s="354"/>
      <c r="T1371" s="354"/>
      <c r="U1371" s="354"/>
      <c r="V1371" s="354"/>
      <c r="W1371" s="354"/>
      <c r="X1371" s="354"/>
      <c r="Y1371" s="354"/>
      <c r="Z1371" s="354"/>
      <c r="AA1371" s="354"/>
      <c r="AB1371" s="354"/>
      <c r="AC1371" s="354"/>
      <c r="AD1371" s="354"/>
      <c r="AE1371" s="354"/>
      <c r="AF1371" s="354"/>
      <c r="AG1371" s="354"/>
      <c r="AH1371" s="354"/>
      <c r="AI1371" s="354"/>
      <c r="AJ1371" s="354"/>
      <c r="AK1371" s="354"/>
      <c r="AL1371" s="354"/>
      <c r="AM1371" s="354"/>
      <c r="AN1371" s="354"/>
      <c r="AO1371" s="354"/>
      <c r="AP1371" s="354"/>
      <c r="AQ1371" s="354"/>
      <c r="AR1371" s="354"/>
      <c r="AS1371" s="354"/>
      <c r="AT1371" s="354"/>
      <c r="AU1371" s="354"/>
      <c r="AV1371" s="354"/>
      <c r="AW1371" s="354"/>
    </row>
    <row r="1372" spans="1:49">
      <c r="A1372" s="354"/>
      <c r="B1372" s="354"/>
      <c r="C1372" s="354"/>
      <c r="D1372" s="354"/>
      <c r="E1372" s="354"/>
      <c r="F1372" s="354"/>
      <c r="G1372" s="354"/>
      <c r="H1372" s="354"/>
      <c r="I1372" s="354"/>
      <c r="J1372" s="354"/>
      <c r="K1372" s="354"/>
      <c r="L1372" s="354"/>
      <c r="M1372" s="354"/>
      <c r="N1372" s="354"/>
      <c r="O1372" s="354"/>
      <c r="P1372" s="354"/>
      <c r="Q1372" s="354"/>
      <c r="R1372" s="354"/>
      <c r="S1372" s="354"/>
      <c r="T1372" s="354"/>
      <c r="U1372" s="354"/>
      <c r="V1372" s="354"/>
      <c r="W1372" s="354"/>
      <c r="X1372" s="354"/>
      <c r="Y1372" s="354"/>
      <c r="Z1372" s="354"/>
      <c r="AA1372" s="354"/>
      <c r="AB1372" s="354"/>
      <c r="AC1372" s="354"/>
      <c r="AD1372" s="354"/>
      <c r="AE1372" s="354"/>
      <c r="AF1372" s="354"/>
      <c r="AG1372" s="354"/>
      <c r="AH1372" s="354"/>
      <c r="AI1372" s="354"/>
      <c r="AJ1372" s="354"/>
      <c r="AK1372" s="354"/>
      <c r="AL1372" s="354"/>
      <c r="AM1372" s="354"/>
      <c r="AN1372" s="354"/>
      <c r="AO1372" s="354"/>
      <c r="AP1372" s="354"/>
      <c r="AQ1372" s="354"/>
      <c r="AR1372" s="354"/>
      <c r="AS1372" s="354"/>
      <c r="AT1372" s="354"/>
      <c r="AU1372" s="354"/>
      <c r="AV1372" s="354"/>
      <c r="AW1372" s="354"/>
    </row>
    <row r="1373" spans="1:49">
      <c r="A1373" s="354"/>
      <c r="B1373" s="354"/>
      <c r="C1373" s="354"/>
      <c r="D1373" s="354"/>
      <c r="E1373" s="354"/>
      <c r="F1373" s="354"/>
      <c r="G1373" s="354"/>
      <c r="H1373" s="354"/>
      <c r="I1373" s="354"/>
      <c r="J1373" s="354"/>
      <c r="K1373" s="354"/>
      <c r="L1373" s="354"/>
      <c r="M1373" s="354"/>
      <c r="N1373" s="354"/>
      <c r="O1373" s="354"/>
      <c r="P1373" s="354"/>
      <c r="Q1373" s="354"/>
      <c r="R1373" s="354"/>
      <c r="S1373" s="354"/>
      <c r="T1373" s="354"/>
      <c r="U1373" s="354"/>
      <c r="V1373" s="354"/>
      <c r="W1373" s="354"/>
      <c r="X1373" s="354"/>
      <c r="Y1373" s="354"/>
      <c r="Z1373" s="354"/>
      <c r="AA1373" s="354"/>
      <c r="AB1373" s="354"/>
      <c r="AC1373" s="354"/>
      <c r="AD1373" s="354"/>
      <c r="AE1373" s="354"/>
      <c r="AF1373" s="354"/>
      <c r="AG1373" s="354"/>
      <c r="AH1373" s="354"/>
      <c r="AI1373" s="354"/>
      <c r="AJ1373" s="354"/>
      <c r="AK1373" s="354"/>
      <c r="AL1373" s="354"/>
      <c r="AM1373" s="354"/>
      <c r="AN1373" s="354"/>
      <c r="AO1373" s="354"/>
      <c r="AP1373" s="354"/>
      <c r="AQ1373" s="354"/>
      <c r="AR1373" s="354"/>
      <c r="AS1373" s="354"/>
      <c r="AT1373" s="354"/>
      <c r="AU1373" s="354"/>
      <c r="AV1373" s="354"/>
      <c r="AW1373" s="354"/>
    </row>
    <row r="1374" spans="1:49">
      <c r="A1374" s="354"/>
      <c r="B1374" s="354"/>
      <c r="C1374" s="354"/>
      <c r="D1374" s="354"/>
      <c r="E1374" s="354"/>
      <c r="F1374" s="354"/>
      <c r="G1374" s="354"/>
      <c r="H1374" s="354"/>
      <c r="I1374" s="354"/>
      <c r="J1374" s="354"/>
      <c r="K1374" s="354"/>
      <c r="L1374" s="354"/>
      <c r="M1374" s="354"/>
      <c r="N1374" s="354"/>
      <c r="O1374" s="354"/>
      <c r="P1374" s="354"/>
      <c r="Q1374" s="354"/>
      <c r="R1374" s="354"/>
      <c r="S1374" s="354"/>
      <c r="T1374" s="354"/>
      <c r="U1374" s="354"/>
      <c r="V1374" s="354"/>
      <c r="W1374" s="354"/>
      <c r="X1374" s="354"/>
      <c r="Y1374" s="354"/>
      <c r="Z1374" s="354"/>
      <c r="AA1374" s="354"/>
      <c r="AB1374" s="354"/>
      <c r="AC1374" s="354"/>
      <c r="AD1374" s="354"/>
      <c r="AE1374" s="354"/>
      <c r="AF1374" s="354"/>
      <c r="AG1374" s="354"/>
      <c r="AH1374" s="354"/>
      <c r="AI1374" s="354"/>
      <c r="AJ1374" s="354"/>
      <c r="AK1374" s="354"/>
      <c r="AL1374" s="354"/>
      <c r="AM1374" s="354"/>
      <c r="AN1374" s="354"/>
      <c r="AO1374" s="354"/>
      <c r="AP1374" s="354"/>
      <c r="AQ1374" s="354"/>
      <c r="AR1374" s="354"/>
      <c r="AS1374" s="354"/>
      <c r="AT1374" s="354"/>
      <c r="AU1374" s="354"/>
      <c r="AV1374" s="354"/>
      <c r="AW1374" s="354"/>
    </row>
    <row r="1375" spans="1:49">
      <c r="A1375" s="354"/>
      <c r="B1375" s="354"/>
      <c r="C1375" s="354"/>
      <c r="D1375" s="354"/>
      <c r="E1375" s="354"/>
      <c r="F1375" s="354"/>
      <c r="G1375" s="354"/>
      <c r="H1375" s="354"/>
      <c r="I1375" s="354"/>
      <c r="J1375" s="354"/>
      <c r="K1375" s="354"/>
      <c r="L1375" s="354"/>
      <c r="M1375" s="354"/>
      <c r="N1375" s="354"/>
      <c r="O1375" s="354"/>
      <c r="P1375" s="354"/>
      <c r="Q1375" s="354"/>
      <c r="R1375" s="354"/>
      <c r="S1375" s="354"/>
      <c r="T1375" s="354"/>
      <c r="U1375" s="354"/>
      <c r="V1375" s="354"/>
      <c r="W1375" s="354"/>
      <c r="X1375" s="354"/>
      <c r="Y1375" s="354"/>
      <c r="Z1375" s="354"/>
      <c r="AA1375" s="354"/>
      <c r="AB1375" s="354"/>
      <c r="AC1375" s="354"/>
      <c r="AD1375" s="354"/>
      <c r="AE1375" s="354"/>
      <c r="AF1375" s="354"/>
      <c r="AG1375" s="354"/>
      <c r="AH1375" s="354"/>
      <c r="AI1375" s="354"/>
      <c r="AJ1375" s="354"/>
      <c r="AK1375" s="354"/>
      <c r="AL1375" s="354"/>
      <c r="AM1375" s="354"/>
      <c r="AN1375" s="354"/>
      <c r="AO1375" s="354"/>
      <c r="AP1375" s="354"/>
      <c r="AQ1375" s="354"/>
      <c r="AR1375" s="354"/>
      <c r="AS1375" s="354"/>
      <c r="AT1375" s="354"/>
      <c r="AU1375" s="354"/>
      <c r="AV1375" s="354"/>
      <c r="AW1375" s="354"/>
    </row>
    <row r="1376" spans="1:49">
      <c r="A1376" s="354"/>
      <c r="B1376" s="354"/>
      <c r="C1376" s="354"/>
      <c r="D1376" s="354"/>
      <c r="E1376" s="354"/>
      <c r="F1376" s="354"/>
      <c r="G1376" s="354"/>
      <c r="H1376" s="354"/>
      <c r="I1376" s="354"/>
      <c r="J1376" s="354"/>
      <c r="K1376" s="354"/>
      <c r="L1376" s="354"/>
      <c r="M1376" s="354"/>
      <c r="N1376" s="354"/>
      <c r="O1376" s="354"/>
      <c r="P1376" s="354"/>
      <c r="Q1376" s="354"/>
      <c r="R1376" s="354"/>
      <c r="S1376" s="354"/>
      <c r="T1376" s="354"/>
      <c r="U1376" s="354"/>
      <c r="V1376" s="354"/>
      <c r="W1376" s="354"/>
      <c r="X1376" s="354"/>
      <c r="Y1376" s="354"/>
      <c r="Z1376" s="354"/>
      <c r="AA1376" s="354"/>
      <c r="AB1376" s="354"/>
      <c r="AC1376" s="354"/>
      <c r="AD1376" s="354"/>
      <c r="AE1376" s="354"/>
      <c r="AF1376" s="354"/>
      <c r="AG1376" s="354"/>
      <c r="AH1376" s="354"/>
      <c r="AI1376" s="354"/>
      <c r="AJ1376" s="354"/>
      <c r="AK1376" s="354"/>
      <c r="AL1376" s="354"/>
      <c r="AM1376" s="354"/>
      <c r="AN1376" s="354"/>
      <c r="AO1376" s="354"/>
      <c r="AP1376" s="354"/>
      <c r="AQ1376" s="354"/>
      <c r="AR1376" s="354"/>
      <c r="AS1376" s="354"/>
      <c r="AT1376" s="354"/>
      <c r="AU1376" s="354"/>
      <c r="AV1376" s="354"/>
      <c r="AW1376" s="354"/>
    </row>
    <row r="1377" spans="1:49">
      <c r="A1377" s="354"/>
      <c r="B1377" s="354"/>
      <c r="C1377" s="354"/>
      <c r="D1377" s="354"/>
      <c r="E1377" s="354"/>
      <c r="F1377" s="354"/>
      <c r="G1377" s="354"/>
      <c r="H1377" s="354"/>
      <c r="I1377" s="354"/>
      <c r="J1377" s="354"/>
      <c r="K1377" s="354"/>
      <c r="L1377" s="354"/>
      <c r="M1377" s="354"/>
      <c r="N1377" s="354"/>
      <c r="O1377" s="354"/>
      <c r="P1377" s="354"/>
      <c r="Q1377" s="354"/>
      <c r="R1377" s="354"/>
      <c r="S1377" s="354"/>
      <c r="T1377" s="354"/>
      <c r="U1377" s="354"/>
      <c r="V1377" s="354"/>
      <c r="W1377" s="354"/>
      <c r="X1377" s="354"/>
      <c r="Y1377" s="354"/>
      <c r="Z1377" s="354"/>
      <c r="AA1377" s="354"/>
      <c r="AB1377" s="354"/>
      <c r="AC1377" s="354"/>
      <c r="AD1377" s="354"/>
      <c r="AE1377" s="354"/>
      <c r="AF1377" s="354"/>
      <c r="AG1377" s="354"/>
      <c r="AH1377" s="354"/>
      <c r="AI1377" s="354"/>
      <c r="AJ1377" s="354"/>
      <c r="AK1377" s="354"/>
      <c r="AL1377" s="354"/>
      <c r="AM1377" s="354"/>
      <c r="AN1377" s="354"/>
      <c r="AO1377" s="354"/>
      <c r="AP1377" s="354"/>
      <c r="AQ1377" s="354"/>
      <c r="AR1377" s="354"/>
      <c r="AS1377" s="354"/>
      <c r="AT1377" s="354"/>
      <c r="AU1377" s="354"/>
      <c r="AV1377" s="354"/>
      <c r="AW1377" s="354"/>
    </row>
    <row r="1378" spans="1:49">
      <c r="A1378" s="354"/>
      <c r="B1378" s="354"/>
      <c r="C1378" s="354"/>
      <c r="D1378" s="354"/>
      <c r="E1378" s="354"/>
      <c r="F1378" s="354"/>
      <c r="G1378" s="354"/>
      <c r="H1378" s="354"/>
      <c r="I1378" s="354"/>
      <c r="J1378" s="354"/>
      <c r="K1378" s="354"/>
      <c r="L1378" s="354"/>
      <c r="M1378" s="354"/>
      <c r="N1378" s="354"/>
      <c r="O1378" s="354"/>
      <c r="P1378" s="354"/>
      <c r="Q1378" s="354"/>
      <c r="R1378" s="354"/>
      <c r="S1378" s="354"/>
      <c r="T1378" s="354"/>
      <c r="U1378" s="354"/>
      <c r="V1378" s="354"/>
      <c r="W1378" s="354"/>
      <c r="X1378" s="354"/>
      <c r="Y1378" s="354"/>
      <c r="Z1378" s="354"/>
      <c r="AA1378" s="354"/>
      <c r="AB1378" s="354"/>
      <c r="AC1378" s="354"/>
      <c r="AD1378" s="354"/>
      <c r="AE1378" s="354"/>
      <c r="AF1378" s="354"/>
      <c r="AG1378" s="354"/>
      <c r="AH1378" s="354"/>
      <c r="AI1378" s="354"/>
      <c r="AJ1378" s="354"/>
      <c r="AK1378" s="354"/>
      <c r="AL1378" s="354"/>
      <c r="AM1378" s="354"/>
      <c r="AN1378" s="354"/>
      <c r="AO1378" s="354"/>
      <c r="AP1378" s="354"/>
      <c r="AQ1378" s="354"/>
      <c r="AR1378" s="354"/>
      <c r="AS1378" s="354"/>
      <c r="AT1378" s="354"/>
      <c r="AU1378" s="354"/>
      <c r="AV1378" s="354"/>
      <c r="AW1378" s="354"/>
    </row>
    <row r="1379" spans="1:49">
      <c r="A1379" s="354"/>
      <c r="B1379" s="354"/>
      <c r="C1379" s="354"/>
      <c r="D1379" s="354"/>
      <c r="E1379" s="354"/>
      <c r="F1379" s="354"/>
      <c r="G1379" s="354"/>
      <c r="H1379" s="354"/>
      <c r="I1379" s="354"/>
      <c r="J1379" s="354"/>
      <c r="K1379" s="354"/>
      <c r="L1379" s="354"/>
      <c r="M1379" s="354"/>
      <c r="N1379" s="354"/>
      <c r="O1379" s="354"/>
      <c r="P1379" s="354"/>
      <c r="Q1379" s="354"/>
      <c r="R1379" s="354"/>
      <c r="S1379" s="354"/>
      <c r="T1379" s="354"/>
      <c r="U1379" s="354"/>
      <c r="V1379" s="354"/>
      <c r="W1379" s="354"/>
      <c r="X1379" s="354"/>
      <c r="Y1379" s="354"/>
      <c r="Z1379" s="354"/>
      <c r="AA1379" s="354"/>
      <c r="AB1379" s="354"/>
      <c r="AC1379" s="354"/>
      <c r="AD1379" s="354"/>
      <c r="AE1379" s="354"/>
      <c r="AF1379" s="354"/>
      <c r="AG1379" s="354"/>
      <c r="AH1379" s="354"/>
      <c r="AI1379" s="354"/>
      <c r="AJ1379" s="354"/>
      <c r="AK1379" s="354"/>
      <c r="AL1379" s="354"/>
      <c r="AM1379" s="354"/>
      <c r="AN1379" s="354"/>
      <c r="AO1379" s="354"/>
      <c r="AP1379" s="354"/>
      <c r="AQ1379" s="354"/>
      <c r="AR1379" s="354"/>
      <c r="AS1379" s="354"/>
      <c r="AT1379" s="354"/>
      <c r="AU1379" s="354"/>
      <c r="AV1379" s="354"/>
      <c r="AW1379" s="354"/>
    </row>
    <row r="1380" spans="1:49">
      <c r="A1380" s="354"/>
      <c r="B1380" s="354"/>
      <c r="C1380" s="354"/>
      <c r="D1380" s="354"/>
      <c r="E1380" s="354"/>
      <c r="F1380" s="354"/>
      <c r="G1380" s="354"/>
      <c r="H1380" s="354"/>
      <c r="I1380" s="354"/>
      <c r="J1380" s="354"/>
      <c r="K1380" s="354"/>
      <c r="L1380" s="354"/>
      <c r="M1380" s="354"/>
      <c r="N1380" s="354"/>
      <c r="O1380" s="354"/>
      <c r="P1380" s="354"/>
      <c r="Q1380" s="354"/>
      <c r="R1380" s="354"/>
      <c r="S1380" s="354"/>
      <c r="T1380" s="354"/>
      <c r="U1380" s="354"/>
      <c r="V1380" s="354"/>
      <c r="W1380" s="354"/>
      <c r="X1380" s="354"/>
      <c r="Y1380" s="354"/>
      <c r="Z1380" s="354"/>
      <c r="AA1380" s="354"/>
      <c r="AB1380" s="354"/>
      <c r="AC1380" s="354"/>
      <c r="AD1380" s="354"/>
      <c r="AE1380" s="354"/>
      <c r="AF1380" s="354"/>
      <c r="AG1380" s="354"/>
      <c r="AH1380" s="354"/>
      <c r="AI1380" s="354"/>
      <c r="AJ1380" s="354"/>
      <c r="AK1380" s="354"/>
      <c r="AL1380" s="354"/>
      <c r="AM1380" s="354"/>
      <c r="AN1380" s="354"/>
      <c r="AO1380" s="354"/>
      <c r="AP1380" s="354"/>
      <c r="AQ1380" s="354"/>
      <c r="AR1380" s="354"/>
      <c r="AS1380" s="354"/>
      <c r="AT1380" s="354"/>
      <c r="AU1380" s="354"/>
      <c r="AV1380" s="354"/>
      <c r="AW1380" s="354"/>
    </row>
    <row r="1381" spans="1:49">
      <c r="A1381" s="354"/>
      <c r="B1381" s="354"/>
      <c r="C1381" s="354"/>
      <c r="D1381" s="354"/>
      <c r="E1381" s="354"/>
      <c r="F1381" s="354"/>
      <c r="G1381" s="354"/>
      <c r="H1381" s="354"/>
      <c r="I1381" s="354"/>
      <c r="J1381" s="354"/>
      <c r="K1381" s="354"/>
      <c r="L1381" s="354"/>
      <c r="M1381" s="354"/>
      <c r="N1381" s="354"/>
      <c r="O1381" s="354"/>
      <c r="P1381" s="354"/>
      <c r="Q1381" s="354"/>
      <c r="R1381" s="354"/>
      <c r="S1381" s="354"/>
      <c r="T1381" s="354"/>
      <c r="U1381" s="354"/>
      <c r="V1381" s="354"/>
      <c r="W1381" s="354"/>
      <c r="X1381" s="354"/>
      <c r="Y1381" s="354"/>
      <c r="Z1381" s="354"/>
      <c r="AA1381" s="354"/>
      <c r="AB1381" s="354"/>
      <c r="AC1381" s="354"/>
      <c r="AD1381" s="354"/>
      <c r="AE1381" s="354"/>
      <c r="AF1381" s="354"/>
      <c r="AG1381" s="354"/>
      <c r="AH1381" s="354"/>
      <c r="AI1381" s="354"/>
      <c r="AJ1381" s="354"/>
      <c r="AK1381" s="354"/>
      <c r="AL1381" s="354"/>
      <c r="AM1381" s="354"/>
      <c r="AN1381" s="354"/>
      <c r="AO1381" s="354"/>
      <c r="AP1381" s="354"/>
      <c r="AQ1381" s="354"/>
      <c r="AR1381" s="354"/>
      <c r="AS1381" s="354"/>
      <c r="AT1381" s="354"/>
      <c r="AU1381" s="354"/>
      <c r="AV1381" s="354"/>
      <c r="AW1381" s="354"/>
    </row>
    <row r="1382" spans="1:49">
      <c r="A1382" s="354"/>
      <c r="B1382" s="354"/>
      <c r="C1382" s="354"/>
      <c r="D1382" s="354"/>
      <c r="E1382" s="354"/>
      <c r="F1382" s="354"/>
      <c r="G1382" s="354"/>
      <c r="H1382" s="354"/>
      <c r="I1382" s="354"/>
      <c r="J1382" s="354"/>
      <c r="K1382" s="354"/>
      <c r="L1382" s="354"/>
      <c r="M1382" s="354"/>
      <c r="N1382" s="354"/>
      <c r="O1382" s="354"/>
      <c r="P1382" s="354"/>
      <c r="Q1382" s="354"/>
      <c r="R1382" s="354"/>
      <c r="S1382" s="354"/>
      <c r="T1382" s="354"/>
      <c r="U1382" s="354"/>
      <c r="V1382" s="354"/>
      <c r="W1382" s="354"/>
      <c r="X1382" s="354"/>
      <c r="Y1382" s="354"/>
      <c r="Z1382" s="354"/>
      <c r="AA1382" s="354"/>
      <c r="AB1382" s="354"/>
      <c r="AC1382" s="354"/>
      <c r="AD1382" s="354"/>
      <c r="AE1382" s="354"/>
      <c r="AF1382" s="354"/>
      <c r="AG1382" s="354"/>
      <c r="AH1382" s="354"/>
      <c r="AI1382" s="354"/>
      <c r="AJ1382" s="354"/>
      <c r="AK1382" s="354"/>
      <c r="AL1382" s="354"/>
      <c r="AM1382" s="354"/>
      <c r="AN1382" s="354"/>
      <c r="AO1382" s="354"/>
      <c r="AP1382" s="354"/>
      <c r="AQ1382" s="354"/>
      <c r="AR1382" s="354"/>
      <c r="AS1382" s="354"/>
      <c r="AT1382" s="354"/>
      <c r="AU1382" s="354"/>
      <c r="AV1382" s="354"/>
      <c r="AW1382" s="354"/>
    </row>
    <row r="1383" spans="1:49">
      <c r="A1383" s="354"/>
      <c r="B1383" s="354"/>
      <c r="C1383" s="354"/>
      <c r="D1383" s="354"/>
      <c r="E1383" s="354"/>
      <c r="F1383" s="354"/>
      <c r="G1383" s="354"/>
      <c r="H1383" s="354"/>
      <c r="I1383" s="354"/>
      <c r="J1383" s="354"/>
      <c r="K1383" s="354"/>
      <c r="L1383" s="354"/>
      <c r="M1383" s="354"/>
      <c r="N1383" s="354"/>
      <c r="O1383" s="354"/>
      <c r="P1383" s="354"/>
      <c r="Q1383" s="354"/>
      <c r="R1383" s="354"/>
      <c r="S1383" s="354"/>
      <c r="T1383" s="354"/>
      <c r="U1383" s="354"/>
      <c r="V1383" s="354"/>
      <c r="W1383" s="354"/>
      <c r="X1383" s="354"/>
      <c r="Y1383" s="354"/>
      <c r="Z1383" s="354"/>
      <c r="AA1383" s="354"/>
      <c r="AB1383" s="354"/>
      <c r="AC1383" s="354"/>
      <c r="AD1383" s="354"/>
      <c r="AE1383" s="354"/>
      <c r="AF1383" s="354"/>
      <c r="AG1383" s="354"/>
      <c r="AH1383" s="354"/>
      <c r="AI1383" s="354"/>
      <c r="AJ1383" s="354"/>
      <c r="AK1383" s="354"/>
      <c r="AL1383" s="354"/>
      <c r="AM1383" s="354"/>
      <c r="AN1383" s="354"/>
      <c r="AO1383" s="354"/>
      <c r="AP1383" s="354"/>
      <c r="AQ1383" s="354"/>
      <c r="AR1383" s="354"/>
      <c r="AS1383" s="354"/>
      <c r="AT1383" s="354"/>
      <c r="AU1383" s="354"/>
      <c r="AV1383" s="354"/>
      <c r="AW1383" s="354"/>
    </row>
    <row r="1384" spans="1:49">
      <c r="A1384" s="354"/>
      <c r="B1384" s="354"/>
      <c r="C1384" s="354"/>
      <c r="D1384" s="354"/>
      <c r="E1384" s="354"/>
      <c r="F1384" s="354"/>
      <c r="G1384" s="354"/>
      <c r="H1384" s="354"/>
      <c r="I1384" s="354"/>
      <c r="J1384" s="354"/>
      <c r="K1384" s="354"/>
      <c r="L1384" s="354"/>
      <c r="M1384" s="354"/>
      <c r="N1384" s="354"/>
      <c r="O1384" s="354"/>
      <c r="P1384" s="354"/>
      <c r="Q1384" s="354"/>
      <c r="R1384" s="354"/>
      <c r="S1384" s="354"/>
      <c r="T1384" s="354"/>
      <c r="U1384" s="354"/>
      <c r="V1384" s="354"/>
      <c r="W1384" s="354"/>
      <c r="X1384" s="354"/>
      <c r="Y1384" s="354"/>
      <c r="Z1384" s="354"/>
      <c r="AA1384" s="354"/>
      <c r="AB1384" s="354"/>
      <c r="AC1384" s="354"/>
      <c r="AD1384" s="354"/>
      <c r="AE1384" s="354"/>
      <c r="AF1384" s="354"/>
      <c r="AG1384" s="354"/>
      <c r="AH1384" s="354"/>
      <c r="AI1384" s="354"/>
      <c r="AJ1384" s="354"/>
      <c r="AK1384" s="354"/>
      <c r="AL1384" s="354"/>
      <c r="AM1384" s="354"/>
      <c r="AN1384" s="354"/>
      <c r="AO1384" s="354"/>
      <c r="AP1384" s="354"/>
      <c r="AQ1384" s="354"/>
      <c r="AR1384" s="354"/>
      <c r="AS1384" s="354"/>
      <c r="AT1384" s="354"/>
      <c r="AU1384" s="354"/>
      <c r="AV1384" s="354"/>
      <c r="AW1384" s="354"/>
    </row>
    <row r="1385" spans="1:49">
      <c r="A1385" s="354"/>
      <c r="B1385" s="354"/>
      <c r="C1385" s="354"/>
      <c r="D1385" s="354"/>
      <c r="E1385" s="354"/>
      <c r="F1385" s="354"/>
      <c r="G1385" s="354"/>
      <c r="H1385" s="354"/>
      <c r="I1385" s="354"/>
      <c r="J1385" s="354"/>
      <c r="K1385" s="354"/>
      <c r="L1385" s="354"/>
      <c r="M1385" s="354"/>
      <c r="N1385" s="354"/>
      <c r="O1385" s="354"/>
      <c r="P1385" s="354"/>
      <c r="Q1385" s="354"/>
      <c r="R1385" s="354"/>
      <c r="S1385" s="354"/>
      <c r="T1385" s="354"/>
      <c r="U1385" s="354"/>
      <c r="V1385" s="354"/>
      <c r="W1385" s="354"/>
      <c r="X1385" s="354"/>
      <c r="Y1385" s="354"/>
      <c r="Z1385" s="354"/>
      <c r="AA1385" s="354"/>
      <c r="AB1385" s="354"/>
      <c r="AC1385" s="354"/>
      <c r="AD1385" s="354"/>
      <c r="AE1385" s="354"/>
      <c r="AF1385" s="354"/>
      <c r="AG1385" s="354"/>
      <c r="AH1385" s="354"/>
      <c r="AI1385" s="354"/>
      <c r="AJ1385" s="354"/>
      <c r="AK1385" s="354"/>
      <c r="AL1385" s="354"/>
      <c r="AM1385" s="354"/>
      <c r="AN1385" s="354"/>
      <c r="AO1385" s="354"/>
      <c r="AP1385" s="354"/>
      <c r="AQ1385" s="354"/>
      <c r="AR1385" s="354"/>
      <c r="AS1385" s="354"/>
      <c r="AT1385" s="354"/>
      <c r="AU1385" s="354"/>
      <c r="AV1385" s="354"/>
      <c r="AW1385" s="354"/>
    </row>
    <row r="1386" spans="1:49">
      <c r="A1386" s="354"/>
      <c r="B1386" s="354"/>
      <c r="C1386" s="354"/>
      <c r="D1386" s="354"/>
      <c r="E1386" s="354"/>
      <c r="F1386" s="354"/>
      <c r="G1386" s="354"/>
      <c r="H1386" s="354"/>
      <c r="I1386" s="354"/>
      <c r="J1386" s="354"/>
      <c r="K1386" s="354"/>
      <c r="L1386" s="354"/>
      <c r="M1386" s="354"/>
      <c r="N1386" s="354"/>
      <c r="O1386" s="354"/>
      <c r="P1386" s="354"/>
      <c r="Q1386" s="354"/>
      <c r="R1386" s="354"/>
      <c r="S1386" s="354"/>
      <c r="T1386" s="354"/>
      <c r="U1386" s="354"/>
      <c r="V1386" s="354"/>
      <c r="W1386" s="354"/>
      <c r="X1386" s="354"/>
      <c r="Y1386" s="354"/>
      <c r="Z1386" s="354"/>
      <c r="AA1386" s="354"/>
      <c r="AB1386" s="354"/>
      <c r="AC1386" s="354"/>
      <c r="AD1386" s="354"/>
      <c r="AE1386" s="354"/>
      <c r="AF1386" s="354"/>
      <c r="AG1386" s="354"/>
      <c r="AH1386" s="354"/>
      <c r="AI1386" s="354"/>
      <c r="AJ1386" s="354"/>
      <c r="AK1386" s="354"/>
      <c r="AL1386" s="354"/>
      <c r="AM1386" s="354"/>
      <c r="AN1386" s="354"/>
      <c r="AO1386" s="354"/>
      <c r="AP1386" s="354"/>
      <c r="AQ1386" s="354"/>
      <c r="AR1386" s="354"/>
      <c r="AS1386" s="354"/>
      <c r="AT1386" s="354"/>
      <c r="AU1386" s="354"/>
      <c r="AV1386" s="354"/>
      <c r="AW1386" s="354"/>
    </row>
    <row r="1387" spans="1:49">
      <c r="A1387" s="354"/>
      <c r="B1387" s="354"/>
      <c r="C1387" s="354"/>
      <c r="D1387" s="354"/>
      <c r="E1387" s="354"/>
      <c r="F1387" s="354"/>
      <c r="G1387" s="354"/>
      <c r="H1387" s="354"/>
      <c r="I1387" s="354"/>
      <c r="J1387" s="354"/>
      <c r="K1387" s="354"/>
      <c r="L1387" s="354"/>
      <c r="M1387" s="354"/>
      <c r="N1387" s="354"/>
      <c r="O1387" s="354"/>
      <c r="P1387" s="354"/>
      <c r="Q1387" s="354"/>
      <c r="R1387" s="354"/>
      <c r="S1387" s="354"/>
      <c r="T1387" s="354"/>
      <c r="U1387" s="354"/>
      <c r="V1387" s="354"/>
      <c r="W1387" s="354"/>
      <c r="X1387" s="354"/>
      <c r="Y1387" s="354"/>
      <c r="Z1387" s="354"/>
      <c r="AA1387" s="354"/>
      <c r="AB1387" s="354"/>
      <c r="AC1387" s="354"/>
      <c r="AD1387" s="354"/>
      <c r="AE1387" s="354"/>
      <c r="AF1387" s="354"/>
      <c r="AG1387" s="354"/>
      <c r="AH1387" s="354"/>
      <c r="AI1387" s="354"/>
      <c r="AJ1387" s="354"/>
      <c r="AK1387" s="354"/>
      <c r="AL1387" s="354"/>
      <c r="AM1387" s="354"/>
      <c r="AN1387" s="354"/>
      <c r="AO1387" s="354"/>
      <c r="AP1387" s="354"/>
      <c r="AQ1387" s="354"/>
      <c r="AR1387" s="354"/>
      <c r="AS1387" s="354"/>
      <c r="AT1387" s="354"/>
      <c r="AU1387" s="354"/>
      <c r="AV1387" s="354"/>
      <c r="AW1387" s="354"/>
    </row>
    <row r="1388" spans="1:49">
      <c r="A1388" s="354"/>
      <c r="B1388" s="354"/>
      <c r="C1388" s="354"/>
      <c r="D1388" s="354"/>
      <c r="E1388" s="354"/>
      <c r="F1388" s="354"/>
      <c r="G1388" s="354"/>
      <c r="H1388" s="354"/>
      <c r="I1388" s="354"/>
      <c r="J1388" s="354"/>
      <c r="K1388" s="354"/>
      <c r="L1388" s="354"/>
      <c r="M1388" s="354"/>
      <c r="N1388" s="354"/>
      <c r="O1388" s="354"/>
      <c r="P1388" s="354"/>
      <c r="Q1388" s="354"/>
      <c r="R1388" s="354"/>
      <c r="S1388" s="354"/>
      <c r="T1388" s="354"/>
      <c r="U1388" s="354"/>
      <c r="V1388" s="354"/>
      <c r="W1388" s="354"/>
      <c r="X1388" s="354"/>
      <c r="Y1388" s="354"/>
      <c r="Z1388" s="354"/>
      <c r="AA1388" s="354"/>
      <c r="AB1388" s="354"/>
      <c r="AC1388" s="354"/>
      <c r="AD1388" s="354"/>
      <c r="AE1388" s="354"/>
      <c r="AF1388" s="354"/>
      <c r="AG1388" s="354"/>
      <c r="AH1388" s="354"/>
      <c r="AI1388" s="354"/>
      <c r="AJ1388" s="354"/>
      <c r="AK1388" s="354"/>
      <c r="AL1388" s="354"/>
      <c r="AM1388" s="354"/>
      <c r="AN1388" s="354"/>
      <c r="AO1388" s="354"/>
      <c r="AP1388" s="354"/>
      <c r="AQ1388" s="354"/>
      <c r="AR1388" s="354"/>
      <c r="AS1388" s="354"/>
      <c r="AT1388" s="354"/>
      <c r="AU1388" s="354"/>
      <c r="AV1388" s="354"/>
      <c r="AW1388" s="354"/>
    </row>
    <row r="1389" spans="1:49">
      <c r="A1389" s="354"/>
      <c r="B1389" s="354"/>
      <c r="C1389" s="354"/>
      <c r="D1389" s="354"/>
      <c r="E1389" s="354"/>
      <c r="F1389" s="354"/>
      <c r="G1389" s="354"/>
      <c r="H1389" s="354"/>
      <c r="I1389" s="354"/>
      <c r="J1389" s="354"/>
      <c r="K1389" s="354"/>
      <c r="L1389" s="354"/>
      <c r="M1389" s="354"/>
      <c r="N1389" s="354"/>
      <c r="O1389" s="354"/>
      <c r="P1389" s="354"/>
      <c r="Q1389" s="354"/>
      <c r="R1389" s="354"/>
      <c r="S1389" s="354"/>
      <c r="T1389" s="354"/>
      <c r="U1389" s="354"/>
      <c r="V1389" s="354"/>
      <c r="W1389" s="354"/>
      <c r="X1389" s="354"/>
      <c r="Y1389" s="354"/>
      <c r="Z1389" s="354"/>
      <c r="AA1389" s="354"/>
      <c r="AB1389" s="354"/>
      <c r="AC1389" s="354"/>
      <c r="AD1389" s="354"/>
      <c r="AE1389" s="354"/>
      <c r="AF1389" s="354"/>
      <c r="AG1389" s="354"/>
      <c r="AH1389" s="354"/>
      <c r="AI1389" s="354"/>
      <c r="AJ1389" s="354"/>
      <c r="AK1389" s="354"/>
      <c r="AL1389" s="354"/>
      <c r="AM1389" s="354"/>
      <c r="AN1389" s="354"/>
      <c r="AO1389" s="354"/>
      <c r="AP1389" s="354"/>
      <c r="AQ1389" s="354"/>
      <c r="AR1389" s="354"/>
      <c r="AS1389" s="354"/>
      <c r="AT1389" s="354"/>
      <c r="AU1389" s="354"/>
      <c r="AV1389" s="354"/>
      <c r="AW1389" s="354"/>
    </row>
    <row r="1390" spans="1:49">
      <c r="A1390" s="354"/>
      <c r="B1390" s="354"/>
      <c r="C1390" s="354"/>
      <c r="D1390" s="354"/>
      <c r="E1390" s="354"/>
      <c r="F1390" s="354"/>
      <c r="G1390" s="354"/>
      <c r="H1390" s="354"/>
      <c r="I1390" s="354"/>
      <c r="J1390" s="354"/>
      <c r="K1390" s="354"/>
      <c r="L1390" s="354"/>
      <c r="M1390" s="354"/>
      <c r="N1390" s="354"/>
      <c r="O1390" s="354"/>
      <c r="P1390" s="354"/>
      <c r="Q1390" s="354"/>
      <c r="R1390" s="354"/>
      <c r="S1390" s="354"/>
      <c r="T1390" s="354"/>
      <c r="U1390" s="354"/>
      <c r="V1390" s="354"/>
      <c r="W1390" s="354"/>
      <c r="X1390" s="354"/>
      <c r="Y1390" s="354"/>
      <c r="Z1390" s="354"/>
      <c r="AA1390" s="354"/>
      <c r="AB1390" s="354"/>
      <c r="AC1390" s="354"/>
      <c r="AD1390" s="354"/>
      <c r="AE1390" s="354"/>
      <c r="AF1390" s="354"/>
      <c r="AG1390" s="354"/>
      <c r="AH1390" s="354"/>
      <c r="AI1390" s="354"/>
      <c r="AJ1390" s="354"/>
      <c r="AK1390" s="354"/>
      <c r="AL1390" s="354"/>
      <c r="AM1390" s="354"/>
      <c r="AN1390" s="354"/>
      <c r="AO1390" s="354"/>
      <c r="AP1390" s="354"/>
      <c r="AQ1390" s="354"/>
      <c r="AR1390" s="354"/>
      <c r="AS1390" s="354"/>
      <c r="AT1390" s="354"/>
      <c r="AU1390" s="354"/>
      <c r="AV1390" s="354"/>
      <c r="AW1390" s="354"/>
    </row>
    <row r="1391" spans="1:49">
      <c r="A1391" s="354"/>
      <c r="B1391" s="354"/>
      <c r="C1391" s="354"/>
      <c r="D1391" s="354"/>
      <c r="E1391" s="354"/>
      <c r="F1391" s="354"/>
      <c r="G1391" s="354"/>
      <c r="H1391" s="354"/>
      <c r="I1391" s="354"/>
      <c r="J1391" s="354"/>
      <c r="K1391" s="354"/>
      <c r="L1391" s="354"/>
      <c r="M1391" s="354"/>
      <c r="N1391" s="354"/>
      <c r="O1391" s="354"/>
      <c r="P1391" s="354"/>
      <c r="Q1391" s="354"/>
      <c r="R1391" s="354"/>
      <c r="S1391" s="354"/>
      <c r="T1391" s="354"/>
      <c r="U1391" s="354"/>
      <c r="V1391" s="354"/>
      <c r="W1391" s="354"/>
      <c r="X1391" s="354"/>
      <c r="Y1391" s="354"/>
      <c r="Z1391" s="354"/>
      <c r="AA1391" s="354"/>
      <c r="AB1391" s="354"/>
      <c r="AC1391" s="354"/>
      <c r="AD1391" s="354"/>
      <c r="AE1391" s="354"/>
      <c r="AF1391" s="354"/>
      <c r="AG1391" s="354"/>
      <c r="AH1391" s="354"/>
      <c r="AI1391" s="354"/>
      <c r="AJ1391" s="354"/>
      <c r="AK1391" s="354"/>
      <c r="AL1391" s="354"/>
      <c r="AM1391" s="354"/>
      <c r="AN1391" s="354"/>
      <c r="AO1391" s="354"/>
      <c r="AP1391" s="354"/>
      <c r="AQ1391" s="354"/>
      <c r="AR1391" s="354"/>
      <c r="AS1391" s="354"/>
      <c r="AT1391" s="354"/>
      <c r="AU1391" s="354"/>
      <c r="AV1391" s="354"/>
      <c r="AW1391" s="354"/>
    </row>
    <row r="1392" spans="1:49">
      <c r="A1392" s="354"/>
      <c r="B1392" s="354"/>
      <c r="C1392" s="354"/>
      <c r="D1392" s="354"/>
      <c r="E1392" s="354"/>
      <c r="F1392" s="354"/>
      <c r="G1392" s="354"/>
      <c r="H1392" s="354"/>
      <c r="I1392" s="354"/>
      <c r="J1392" s="354"/>
      <c r="K1392" s="354"/>
      <c r="L1392" s="354"/>
      <c r="M1392" s="354"/>
      <c r="N1392" s="354"/>
      <c r="O1392" s="354"/>
      <c r="P1392" s="354"/>
      <c r="Q1392" s="354"/>
      <c r="R1392" s="354"/>
      <c r="S1392" s="354"/>
      <c r="T1392" s="354"/>
      <c r="U1392" s="354"/>
      <c r="V1392" s="354"/>
      <c r="W1392" s="354"/>
      <c r="X1392" s="354"/>
      <c r="Y1392" s="354"/>
      <c r="Z1392" s="354"/>
      <c r="AA1392" s="354"/>
      <c r="AB1392" s="354"/>
      <c r="AC1392" s="354"/>
      <c r="AD1392" s="354"/>
      <c r="AE1392" s="354"/>
      <c r="AF1392" s="354"/>
      <c r="AG1392" s="354"/>
      <c r="AH1392" s="354"/>
      <c r="AI1392" s="354"/>
      <c r="AJ1392" s="354"/>
      <c r="AK1392" s="354"/>
      <c r="AL1392" s="354"/>
      <c r="AM1392" s="354"/>
      <c r="AN1392" s="354"/>
      <c r="AO1392" s="354"/>
      <c r="AP1392" s="354"/>
      <c r="AQ1392" s="354"/>
      <c r="AR1392" s="354"/>
      <c r="AS1392" s="354"/>
      <c r="AT1392" s="354"/>
      <c r="AU1392" s="354"/>
      <c r="AV1392" s="354"/>
      <c r="AW1392" s="354"/>
    </row>
    <row r="1393" spans="1:49">
      <c r="A1393" s="354"/>
      <c r="B1393" s="354"/>
      <c r="C1393" s="354"/>
      <c r="D1393" s="354"/>
      <c r="E1393" s="354"/>
      <c r="F1393" s="354"/>
      <c r="G1393" s="354"/>
      <c r="H1393" s="354"/>
      <c r="I1393" s="354"/>
      <c r="J1393" s="354"/>
      <c r="K1393" s="354"/>
      <c r="L1393" s="354"/>
      <c r="M1393" s="354"/>
      <c r="N1393" s="354"/>
      <c r="O1393" s="354"/>
      <c r="P1393" s="354"/>
      <c r="Q1393" s="354"/>
      <c r="R1393" s="354"/>
      <c r="S1393" s="354"/>
      <c r="T1393" s="354"/>
      <c r="U1393" s="354"/>
      <c r="V1393" s="354"/>
      <c r="W1393" s="354"/>
      <c r="X1393" s="354"/>
      <c r="Y1393" s="354"/>
      <c r="Z1393" s="354"/>
      <c r="AA1393" s="354"/>
      <c r="AB1393" s="354"/>
      <c r="AC1393" s="354"/>
      <c r="AD1393" s="354"/>
      <c r="AE1393" s="354"/>
      <c r="AF1393" s="354"/>
      <c r="AG1393" s="354"/>
      <c r="AH1393" s="354"/>
      <c r="AI1393" s="354"/>
      <c r="AJ1393" s="354"/>
      <c r="AK1393" s="354"/>
      <c r="AL1393" s="354"/>
      <c r="AM1393" s="354"/>
      <c r="AN1393" s="354"/>
      <c r="AO1393" s="354"/>
      <c r="AP1393" s="354"/>
      <c r="AQ1393" s="354"/>
      <c r="AR1393" s="354"/>
      <c r="AS1393" s="354"/>
      <c r="AT1393" s="354"/>
      <c r="AU1393" s="354"/>
      <c r="AV1393" s="354"/>
      <c r="AW1393" s="354"/>
    </row>
    <row r="1394" spans="1:49">
      <c r="A1394" s="354"/>
      <c r="B1394" s="354"/>
      <c r="C1394" s="354"/>
      <c r="D1394" s="354"/>
      <c r="E1394" s="354"/>
      <c r="F1394" s="354"/>
      <c r="G1394" s="354"/>
      <c r="H1394" s="354"/>
      <c r="I1394" s="354"/>
      <c r="J1394" s="354"/>
      <c r="K1394" s="354"/>
      <c r="L1394" s="354"/>
      <c r="M1394" s="354"/>
      <c r="N1394" s="354"/>
      <c r="O1394" s="354"/>
      <c r="P1394" s="354"/>
      <c r="Q1394" s="354"/>
      <c r="R1394" s="354"/>
      <c r="S1394" s="354"/>
      <c r="T1394" s="354"/>
      <c r="U1394" s="354"/>
      <c r="V1394" s="354"/>
      <c r="W1394" s="354"/>
      <c r="X1394" s="354"/>
      <c r="Y1394" s="354"/>
      <c r="Z1394" s="354"/>
      <c r="AA1394" s="354"/>
      <c r="AB1394" s="354"/>
      <c r="AC1394" s="354"/>
      <c r="AD1394" s="354"/>
      <c r="AE1394" s="354"/>
      <c r="AF1394" s="354"/>
      <c r="AG1394" s="354"/>
      <c r="AH1394" s="354"/>
      <c r="AI1394" s="354"/>
      <c r="AJ1394" s="354"/>
      <c r="AK1394" s="354"/>
      <c r="AL1394" s="354"/>
      <c r="AM1394" s="354"/>
      <c r="AN1394" s="354"/>
      <c r="AO1394" s="354"/>
      <c r="AP1394" s="354"/>
      <c r="AQ1394" s="354"/>
      <c r="AR1394" s="354"/>
      <c r="AS1394" s="354"/>
      <c r="AT1394" s="354"/>
      <c r="AU1394" s="354"/>
      <c r="AV1394" s="354"/>
      <c r="AW1394" s="354"/>
    </row>
    <row r="1395" spans="1:49">
      <c r="A1395" s="354"/>
      <c r="B1395" s="354"/>
      <c r="C1395" s="354"/>
      <c r="D1395" s="354"/>
      <c r="E1395" s="354"/>
      <c r="F1395" s="354"/>
      <c r="G1395" s="354"/>
      <c r="H1395" s="354"/>
      <c r="I1395" s="354"/>
      <c r="J1395" s="354"/>
      <c r="K1395" s="354"/>
      <c r="L1395" s="354"/>
      <c r="M1395" s="354"/>
      <c r="N1395" s="354"/>
      <c r="O1395" s="354"/>
      <c r="P1395" s="354"/>
      <c r="Q1395" s="354"/>
      <c r="R1395" s="354"/>
      <c r="S1395" s="354"/>
      <c r="T1395" s="354"/>
      <c r="U1395" s="354"/>
      <c r="V1395" s="354"/>
      <c r="W1395" s="354"/>
      <c r="X1395" s="354"/>
      <c r="Y1395" s="354"/>
      <c r="Z1395" s="354"/>
      <c r="AA1395" s="354"/>
      <c r="AB1395" s="354"/>
      <c r="AC1395" s="354"/>
      <c r="AD1395" s="354"/>
      <c r="AE1395" s="354"/>
      <c r="AF1395" s="354"/>
      <c r="AG1395" s="354"/>
      <c r="AH1395" s="354"/>
      <c r="AI1395" s="354"/>
      <c r="AJ1395" s="354"/>
      <c r="AK1395" s="354"/>
      <c r="AL1395" s="354"/>
      <c r="AM1395" s="354"/>
      <c r="AN1395" s="354"/>
      <c r="AO1395" s="354"/>
      <c r="AP1395" s="354"/>
      <c r="AQ1395" s="354"/>
      <c r="AR1395" s="354"/>
      <c r="AS1395" s="354"/>
      <c r="AT1395" s="354"/>
      <c r="AU1395" s="354"/>
      <c r="AV1395" s="354"/>
      <c r="AW1395" s="354"/>
    </row>
    <row r="1396" spans="1:49">
      <c r="A1396" s="354"/>
      <c r="B1396" s="354"/>
      <c r="C1396" s="354"/>
      <c r="D1396" s="354"/>
      <c r="E1396" s="354"/>
      <c r="F1396" s="354"/>
      <c r="G1396" s="354"/>
      <c r="H1396" s="354"/>
      <c r="I1396" s="354"/>
      <c r="J1396" s="354"/>
      <c r="K1396" s="354"/>
      <c r="L1396" s="354"/>
      <c r="M1396" s="354"/>
      <c r="N1396" s="354"/>
      <c r="O1396" s="354"/>
      <c r="P1396" s="354"/>
      <c r="Q1396" s="354"/>
      <c r="R1396" s="354"/>
      <c r="S1396" s="354"/>
      <c r="T1396" s="354"/>
      <c r="U1396" s="354"/>
      <c r="V1396" s="354"/>
      <c r="W1396" s="354"/>
      <c r="X1396" s="354"/>
      <c r="Y1396" s="354"/>
      <c r="Z1396" s="354"/>
      <c r="AA1396" s="354"/>
      <c r="AB1396" s="354"/>
      <c r="AC1396" s="354"/>
      <c r="AD1396" s="354"/>
      <c r="AE1396" s="354"/>
      <c r="AF1396" s="354"/>
      <c r="AG1396" s="354"/>
      <c r="AH1396" s="354"/>
      <c r="AI1396" s="354"/>
      <c r="AJ1396" s="354"/>
      <c r="AK1396" s="354"/>
      <c r="AL1396" s="354"/>
      <c r="AM1396" s="354"/>
      <c r="AN1396" s="354"/>
      <c r="AO1396" s="354"/>
      <c r="AP1396" s="354"/>
      <c r="AQ1396" s="354"/>
      <c r="AR1396" s="354"/>
      <c r="AS1396" s="354"/>
      <c r="AT1396" s="354"/>
      <c r="AU1396" s="354"/>
      <c r="AV1396" s="354"/>
      <c r="AW1396" s="354"/>
    </row>
    <row r="1397" spans="1:49">
      <c r="A1397" s="354"/>
      <c r="B1397" s="354"/>
      <c r="C1397" s="354"/>
      <c r="D1397" s="354"/>
      <c r="E1397" s="354"/>
      <c r="F1397" s="354"/>
      <c r="G1397" s="354"/>
      <c r="H1397" s="354"/>
      <c r="I1397" s="354"/>
      <c r="J1397" s="354"/>
      <c r="K1397" s="354"/>
      <c r="L1397" s="354"/>
      <c r="M1397" s="354"/>
      <c r="N1397" s="354"/>
      <c r="O1397" s="354"/>
      <c r="P1397" s="354"/>
      <c r="Q1397" s="354"/>
      <c r="R1397" s="354"/>
      <c r="S1397" s="354"/>
      <c r="T1397" s="354"/>
      <c r="U1397" s="354"/>
      <c r="V1397" s="354"/>
      <c r="W1397" s="354"/>
      <c r="X1397" s="354"/>
      <c r="Y1397" s="354"/>
      <c r="Z1397" s="354"/>
      <c r="AA1397" s="354"/>
      <c r="AB1397" s="354"/>
      <c r="AC1397" s="354"/>
      <c r="AD1397" s="354"/>
      <c r="AE1397" s="354"/>
      <c r="AF1397" s="354"/>
      <c r="AG1397" s="354"/>
      <c r="AH1397" s="354"/>
      <c r="AI1397" s="354"/>
      <c r="AJ1397" s="354"/>
      <c r="AK1397" s="354"/>
      <c r="AL1397" s="354"/>
      <c r="AM1397" s="354"/>
      <c r="AN1397" s="354"/>
      <c r="AO1397" s="354"/>
      <c r="AP1397" s="354"/>
      <c r="AQ1397" s="354"/>
      <c r="AR1397" s="354"/>
      <c r="AS1397" s="354"/>
      <c r="AT1397" s="354"/>
      <c r="AU1397" s="354"/>
      <c r="AV1397" s="354"/>
      <c r="AW1397" s="354"/>
    </row>
    <row r="1398" spans="1:49">
      <c r="A1398" s="354"/>
      <c r="B1398" s="354"/>
      <c r="C1398" s="354"/>
      <c r="D1398" s="354"/>
      <c r="E1398" s="354"/>
      <c r="F1398" s="354"/>
      <c r="G1398" s="354"/>
      <c r="H1398" s="354"/>
      <c r="I1398" s="354"/>
      <c r="J1398" s="354"/>
      <c r="K1398" s="354"/>
      <c r="L1398" s="354"/>
      <c r="M1398" s="354"/>
      <c r="N1398" s="354"/>
      <c r="O1398" s="354"/>
      <c r="P1398" s="354"/>
      <c r="Q1398" s="354"/>
      <c r="R1398" s="354"/>
      <c r="S1398" s="354"/>
      <c r="T1398" s="354"/>
      <c r="U1398" s="354"/>
      <c r="V1398" s="354"/>
      <c r="W1398" s="354"/>
      <c r="X1398" s="354"/>
      <c r="Y1398" s="354"/>
      <c r="Z1398" s="354"/>
      <c r="AA1398" s="354"/>
      <c r="AB1398" s="354"/>
      <c r="AC1398" s="354"/>
      <c r="AD1398" s="354"/>
      <c r="AE1398" s="354"/>
      <c r="AF1398" s="354"/>
      <c r="AG1398" s="354"/>
      <c r="AH1398" s="354"/>
      <c r="AI1398" s="354"/>
      <c r="AJ1398" s="354"/>
      <c r="AK1398" s="354"/>
      <c r="AL1398" s="354"/>
      <c r="AM1398" s="354"/>
      <c r="AN1398" s="354"/>
      <c r="AO1398" s="354"/>
      <c r="AP1398" s="354"/>
      <c r="AQ1398" s="354"/>
      <c r="AR1398" s="354"/>
      <c r="AS1398" s="354"/>
      <c r="AT1398" s="354"/>
      <c r="AU1398" s="354"/>
      <c r="AV1398" s="354"/>
      <c r="AW1398" s="354"/>
    </row>
    <row r="1399" spans="1:49">
      <c r="A1399" s="354"/>
      <c r="B1399" s="354"/>
      <c r="C1399" s="354"/>
      <c r="D1399" s="354"/>
      <c r="E1399" s="354"/>
      <c r="F1399" s="354"/>
      <c r="G1399" s="354"/>
      <c r="H1399" s="354"/>
      <c r="I1399" s="354"/>
      <c r="J1399" s="354"/>
      <c r="K1399" s="354"/>
      <c r="L1399" s="354"/>
      <c r="M1399" s="354"/>
      <c r="N1399" s="354"/>
      <c r="O1399" s="354"/>
      <c r="P1399" s="354"/>
      <c r="Q1399" s="354"/>
      <c r="R1399" s="354"/>
      <c r="S1399" s="354"/>
      <c r="T1399" s="354"/>
      <c r="U1399" s="354"/>
      <c r="V1399" s="354"/>
      <c r="W1399" s="354"/>
      <c r="X1399" s="354"/>
      <c r="Y1399" s="354"/>
      <c r="Z1399" s="354"/>
      <c r="AA1399" s="354"/>
      <c r="AB1399" s="354"/>
      <c r="AC1399" s="354"/>
      <c r="AD1399" s="354"/>
      <c r="AE1399" s="354"/>
      <c r="AF1399" s="354"/>
      <c r="AG1399" s="354"/>
      <c r="AH1399" s="354"/>
      <c r="AI1399" s="354"/>
      <c r="AJ1399" s="354"/>
      <c r="AK1399" s="354"/>
      <c r="AL1399" s="354"/>
      <c r="AM1399" s="354"/>
      <c r="AN1399" s="354"/>
      <c r="AO1399" s="354"/>
      <c r="AP1399" s="354"/>
      <c r="AQ1399" s="354"/>
      <c r="AR1399" s="354"/>
      <c r="AS1399" s="354"/>
      <c r="AT1399" s="354"/>
      <c r="AU1399" s="354"/>
      <c r="AV1399" s="354"/>
      <c r="AW1399" s="354"/>
    </row>
    <row r="1400" spans="1:49">
      <c r="A1400" s="354"/>
      <c r="B1400" s="354"/>
      <c r="C1400" s="354"/>
      <c r="D1400" s="354"/>
      <c r="E1400" s="354"/>
      <c r="F1400" s="354"/>
      <c r="G1400" s="354"/>
      <c r="H1400" s="354"/>
      <c r="I1400" s="354"/>
      <c r="J1400" s="354"/>
      <c r="K1400" s="354"/>
      <c r="L1400" s="354"/>
      <c r="M1400" s="354"/>
      <c r="N1400" s="354"/>
      <c r="O1400" s="354"/>
      <c r="P1400" s="354"/>
      <c r="Q1400" s="354"/>
      <c r="R1400" s="354"/>
      <c r="S1400" s="354"/>
      <c r="T1400" s="354"/>
      <c r="U1400" s="354"/>
      <c r="V1400" s="354"/>
      <c r="W1400" s="354"/>
      <c r="X1400" s="354"/>
      <c r="Y1400" s="354"/>
      <c r="Z1400" s="354"/>
      <c r="AA1400" s="354"/>
      <c r="AB1400" s="354"/>
      <c r="AC1400" s="354"/>
      <c r="AD1400" s="354"/>
      <c r="AE1400" s="354"/>
      <c r="AF1400" s="354"/>
      <c r="AG1400" s="354"/>
      <c r="AH1400" s="354"/>
      <c r="AI1400" s="354"/>
      <c r="AJ1400" s="354"/>
      <c r="AK1400" s="354"/>
      <c r="AL1400" s="354"/>
      <c r="AM1400" s="354"/>
      <c r="AN1400" s="354"/>
      <c r="AO1400" s="354"/>
      <c r="AP1400" s="354"/>
      <c r="AQ1400" s="354"/>
      <c r="AR1400" s="354"/>
      <c r="AS1400" s="354"/>
      <c r="AT1400" s="354"/>
      <c r="AU1400" s="354"/>
      <c r="AV1400" s="354"/>
      <c r="AW1400" s="354"/>
    </row>
    <row r="1401" spans="1:49">
      <c r="A1401" s="354"/>
      <c r="B1401" s="354"/>
      <c r="C1401" s="354"/>
      <c r="D1401" s="354"/>
      <c r="E1401" s="354"/>
      <c r="F1401" s="354"/>
      <c r="G1401" s="354"/>
      <c r="H1401" s="354"/>
      <c r="I1401" s="354"/>
      <c r="J1401" s="354"/>
      <c r="K1401" s="354"/>
      <c r="L1401" s="354"/>
      <c r="M1401" s="354"/>
      <c r="N1401" s="354"/>
      <c r="O1401" s="354"/>
      <c r="P1401" s="354"/>
      <c r="Q1401" s="354"/>
      <c r="R1401" s="354"/>
      <c r="S1401" s="354"/>
      <c r="T1401" s="354"/>
      <c r="U1401" s="354"/>
      <c r="V1401" s="354"/>
      <c r="W1401" s="354"/>
      <c r="X1401" s="354"/>
      <c r="Y1401" s="354"/>
      <c r="Z1401" s="354"/>
      <c r="AA1401" s="354"/>
      <c r="AB1401" s="354"/>
      <c r="AC1401" s="354"/>
      <c r="AD1401" s="354"/>
      <c r="AE1401" s="354"/>
      <c r="AF1401" s="354"/>
      <c r="AG1401" s="354"/>
      <c r="AH1401" s="354"/>
      <c r="AI1401" s="354"/>
      <c r="AJ1401" s="354"/>
      <c r="AK1401" s="354"/>
      <c r="AL1401" s="354"/>
      <c r="AM1401" s="354"/>
      <c r="AN1401" s="354"/>
      <c r="AO1401" s="354"/>
      <c r="AP1401" s="354"/>
      <c r="AQ1401" s="354"/>
      <c r="AR1401" s="354"/>
      <c r="AS1401" s="354"/>
      <c r="AT1401" s="354"/>
      <c r="AU1401" s="354"/>
      <c r="AV1401" s="354"/>
      <c r="AW1401" s="354"/>
    </row>
    <row r="1402" spans="1:49">
      <c r="A1402" s="354"/>
      <c r="B1402" s="354"/>
      <c r="C1402" s="354"/>
      <c r="D1402" s="354"/>
      <c r="E1402" s="354"/>
      <c r="F1402" s="354"/>
      <c r="G1402" s="354"/>
      <c r="H1402" s="354"/>
      <c r="I1402" s="354"/>
      <c r="J1402" s="354"/>
      <c r="K1402" s="354"/>
      <c r="L1402" s="354"/>
      <c r="M1402" s="354"/>
      <c r="N1402" s="354"/>
      <c r="O1402" s="354"/>
      <c r="P1402" s="354"/>
      <c r="Q1402" s="354"/>
      <c r="R1402" s="354"/>
      <c r="S1402" s="354"/>
      <c r="T1402" s="354"/>
      <c r="U1402" s="354"/>
      <c r="V1402" s="354"/>
      <c r="W1402" s="354"/>
      <c r="X1402" s="354"/>
      <c r="Y1402" s="354"/>
      <c r="Z1402" s="354"/>
      <c r="AA1402" s="354"/>
      <c r="AB1402" s="354"/>
      <c r="AC1402" s="354"/>
      <c r="AD1402" s="354"/>
      <c r="AE1402" s="354"/>
      <c r="AF1402" s="354"/>
      <c r="AG1402" s="354"/>
      <c r="AH1402" s="354"/>
      <c r="AI1402" s="354"/>
      <c r="AJ1402" s="354"/>
      <c r="AK1402" s="354"/>
      <c r="AL1402" s="354"/>
      <c r="AM1402" s="354"/>
      <c r="AN1402" s="354"/>
      <c r="AO1402" s="354"/>
      <c r="AP1402" s="354"/>
      <c r="AQ1402" s="354"/>
      <c r="AR1402" s="354"/>
      <c r="AS1402" s="354"/>
      <c r="AT1402" s="354"/>
      <c r="AU1402" s="354"/>
      <c r="AV1402" s="354"/>
      <c r="AW1402" s="354"/>
    </row>
    <row r="1403" spans="1:49">
      <c r="A1403" s="354"/>
      <c r="B1403" s="354"/>
      <c r="C1403" s="354"/>
      <c r="D1403" s="354"/>
      <c r="E1403" s="354"/>
      <c r="F1403" s="354"/>
      <c r="G1403" s="354"/>
      <c r="H1403" s="354"/>
      <c r="I1403" s="354"/>
      <c r="J1403" s="354"/>
      <c r="K1403" s="354"/>
      <c r="L1403" s="354"/>
      <c r="M1403" s="354"/>
      <c r="N1403" s="354"/>
      <c r="O1403" s="354"/>
      <c r="P1403" s="354"/>
      <c r="Q1403" s="354"/>
      <c r="R1403" s="354"/>
      <c r="S1403" s="354"/>
      <c r="T1403" s="354"/>
      <c r="U1403" s="354"/>
      <c r="V1403" s="354"/>
      <c r="W1403" s="354"/>
      <c r="X1403" s="354"/>
      <c r="Y1403" s="354"/>
      <c r="Z1403" s="354"/>
      <c r="AA1403" s="354"/>
      <c r="AB1403" s="354"/>
      <c r="AC1403" s="354"/>
      <c r="AD1403" s="354"/>
      <c r="AE1403" s="354"/>
      <c r="AF1403" s="354"/>
      <c r="AG1403" s="354"/>
      <c r="AH1403" s="354"/>
      <c r="AI1403" s="354"/>
      <c r="AJ1403" s="354"/>
      <c r="AK1403" s="354"/>
      <c r="AL1403" s="354"/>
      <c r="AM1403" s="354"/>
      <c r="AN1403" s="354"/>
      <c r="AO1403" s="354"/>
      <c r="AP1403" s="354"/>
      <c r="AQ1403" s="354"/>
      <c r="AR1403" s="354"/>
      <c r="AS1403" s="354"/>
      <c r="AT1403" s="354"/>
      <c r="AU1403" s="354"/>
      <c r="AV1403" s="354"/>
      <c r="AW1403" s="354"/>
    </row>
    <row r="1404" spans="1:49">
      <c r="A1404" s="354"/>
      <c r="B1404" s="354"/>
      <c r="C1404" s="354"/>
      <c r="D1404" s="354"/>
      <c r="E1404" s="354"/>
      <c r="F1404" s="354"/>
      <c r="G1404" s="354"/>
      <c r="H1404" s="354"/>
      <c r="I1404" s="354"/>
      <c r="J1404" s="354"/>
      <c r="K1404" s="354"/>
      <c r="L1404" s="354"/>
      <c r="M1404" s="354"/>
      <c r="N1404" s="354"/>
      <c r="O1404" s="354"/>
      <c r="P1404" s="354"/>
      <c r="Q1404" s="354"/>
      <c r="R1404" s="354"/>
      <c r="S1404" s="354"/>
      <c r="T1404" s="354"/>
      <c r="U1404" s="354"/>
      <c r="V1404" s="354"/>
      <c r="W1404" s="354"/>
      <c r="X1404" s="354"/>
      <c r="Y1404" s="354"/>
      <c r="Z1404" s="354"/>
      <c r="AA1404" s="354"/>
      <c r="AB1404" s="354"/>
      <c r="AC1404" s="354"/>
      <c r="AD1404" s="354"/>
      <c r="AE1404" s="354"/>
      <c r="AF1404" s="354"/>
      <c r="AG1404" s="354"/>
      <c r="AH1404" s="354"/>
      <c r="AI1404" s="354"/>
      <c r="AJ1404" s="354"/>
      <c r="AK1404" s="354"/>
      <c r="AL1404" s="354"/>
      <c r="AM1404" s="354"/>
      <c r="AN1404" s="354"/>
      <c r="AO1404" s="354"/>
      <c r="AP1404" s="354"/>
      <c r="AQ1404" s="354"/>
      <c r="AR1404" s="354"/>
      <c r="AS1404" s="354"/>
      <c r="AT1404" s="354"/>
      <c r="AU1404" s="354"/>
      <c r="AV1404" s="354"/>
      <c r="AW1404" s="354"/>
    </row>
    <row r="1405" spans="1:49">
      <c r="A1405" s="354"/>
      <c r="B1405" s="354"/>
      <c r="C1405" s="354"/>
      <c r="D1405" s="354"/>
      <c r="E1405" s="354"/>
      <c r="F1405" s="354"/>
      <c r="G1405" s="354"/>
      <c r="H1405" s="354"/>
      <c r="I1405" s="354"/>
      <c r="J1405" s="354"/>
      <c r="K1405" s="354"/>
      <c r="L1405" s="354"/>
      <c r="M1405" s="354"/>
      <c r="N1405" s="354"/>
      <c r="O1405" s="354"/>
      <c r="P1405" s="354"/>
      <c r="Q1405" s="354"/>
      <c r="R1405" s="354"/>
      <c r="S1405" s="354"/>
      <c r="T1405" s="354"/>
      <c r="U1405" s="354"/>
      <c r="V1405" s="354"/>
      <c r="W1405" s="354"/>
      <c r="X1405" s="354"/>
      <c r="Y1405" s="354"/>
      <c r="Z1405" s="354"/>
      <c r="AA1405" s="354"/>
      <c r="AB1405" s="354"/>
      <c r="AC1405" s="354"/>
      <c r="AD1405" s="354"/>
      <c r="AE1405" s="354"/>
      <c r="AF1405" s="354"/>
      <c r="AG1405" s="354"/>
      <c r="AH1405" s="354"/>
      <c r="AI1405" s="354"/>
      <c r="AJ1405" s="354"/>
      <c r="AK1405" s="354"/>
      <c r="AL1405" s="354"/>
      <c r="AM1405" s="354"/>
      <c r="AN1405" s="354"/>
      <c r="AO1405" s="354"/>
      <c r="AP1405" s="354"/>
      <c r="AQ1405" s="354"/>
      <c r="AR1405" s="354"/>
      <c r="AS1405" s="354"/>
      <c r="AT1405" s="354"/>
      <c r="AU1405" s="354"/>
      <c r="AV1405" s="354"/>
      <c r="AW1405" s="354"/>
    </row>
    <row r="1406" spans="1:49">
      <c r="A1406" s="354"/>
      <c r="B1406" s="354"/>
      <c r="C1406" s="354"/>
      <c r="D1406" s="354"/>
      <c r="E1406" s="354"/>
      <c r="F1406" s="354"/>
      <c r="G1406" s="354"/>
      <c r="H1406" s="354"/>
      <c r="I1406" s="354"/>
      <c r="J1406" s="354"/>
      <c r="K1406" s="354"/>
      <c r="L1406" s="354"/>
      <c r="M1406" s="354"/>
      <c r="N1406" s="354"/>
      <c r="O1406" s="354"/>
      <c r="P1406" s="354"/>
      <c r="Q1406" s="354"/>
      <c r="R1406" s="354"/>
      <c r="S1406" s="354"/>
      <c r="T1406" s="354"/>
      <c r="U1406" s="354"/>
      <c r="V1406" s="354"/>
      <c r="W1406" s="354"/>
      <c r="X1406" s="354"/>
      <c r="Y1406" s="354"/>
      <c r="Z1406" s="354"/>
      <c r="AA1406" s="354"/>
      <c r="AB1406" s="354"/>
      <c r="AC1406" s="354"/>
      <c r="AD1406" s="354"/>
      <c r="AE1406" s="354"/>
      <c r="AF1406" s="354"/>
      <c r="AG1406" s="354"/>
      <c r="AH1406" s="354"/>
      <c r="AI1406" s="354"/>
      <c r="AJ1406" s="354"/>
      <c r="AK1406" s="354"/>
      <c r="AL1406" s="354"/>
      <c r="AM1406" s="354"/>
      <c r="AN1406" s="354"/>
      <c r="AO1406" s="354"/>
      <c r="AP1406" s="354"/>
      <c r="AQ1406" s="354"/>
      <c r="AR1406" s="354"/>
      <c r="AS1406" s="354"/>
      <c r="AT1406" s="354"/>
      <c r="AU1406" s="354"/>
      <c r="AV1406" s="354"/>
      <c r="AW1406" s="354"/>
    </row>
    <row r="1407" spans="1:49">
      <c r="A1407" s="354"/>
      <c r="B1407" s="354"/>
      <c r="C1407" s="354"/>
      <c r="D1407" s="354"/>
      <c r="E1407" s="354"/>
      <c r="F1407" s="354"/>
      <c r="G1407" s="354"/>
      <c r="H1407" s="354"/>
      <c r="I1407" s="354"/>
      <c r="J1407" s="354"/>
      <c r="K1407" s="354"/>
      <c r="L1407" s="354"/>
      <c r="M1407" s="354"/>
      <c r="N1407" s="354"/>
      <c r="O1407" s="354"/>
      <c r="P1407" s="354"/>
      <c r="Q1407" s="354"/>
      <c r="R1407" s="354"/>
      <c r="S1407" s="354"/>
      <c r="T1407" s="354"/>
      <c r="U1407" s="354"/>
      <c r="V1407" s="354"/>
      <c r="W1407" s="354"/>
      <c r="X1407" s="354"/>
      <c r="Y1407" s="354"/>
      <c r="Z1407" s="354"/>
      <c r="AA1407" s="354"/>
      <c r="AB1407" s="354"/>
      <c r="AC1407" s="354"/>
      <c r="AD1407" s="354"/>
      <c r="AE1407" s="354"/>
      <c r="AF1407" s="354"/>
      <c r="AG1407" s="354"/>
      <c r="AH1407" s="354"/>
      <c r="AI1407" s="354"/>
      <c r="AJ1407" s="354"/>
      <c r="AK1407" s="354"/>
      <c r="AL1407" s="354"/>
      <c r="AM1407" s="354"/>
      <c r="AN1407" s="354"/>
      <c r="AO1407" s="354"/>
      <c r="AP1407" s="354"/>
      <c r="AQ1407" s="354"/>
      <c r="AR1407" s="354"/>
      <c r="AS1407" s="354"/>
      <c r="AT1407" s="354"/>
      <c r="AU1407" s="354"/>
      <c r="AV1407" s="354"/>
      <c r="AW1407" s="354"/>
    </row>
    <row r="1408" spans="1:49">
      <c r="A1408" s="354"/>
      <c r="B1408" s="354"/>
      <c r="C1408" s="354"/>
      <c r="D1408" s="354"/>
      <c r="E1408" s="354"/>
      <c r="F1408" s="354"/>
      <c r="G1408" s="354"/>
      <c r="H1408" s="354"/>
      <c r="I1408" s="354"/>
      <c r="J1408" s="354"/>
      <c r="K1408" s="354"/>
      <c r="L1408" s="354"/>
      <c r="M1408" s="354"/>
      <c r="N1408" s="354"/>
      <c r="O1408" s="354"/>
      <c r="P1408" s="354"/>
      <c r="Q1408" s="354"/>
      <c r="R1408" s="354"/>
      <c r="S1408" s="354"/>
      <c r="T1408" s="354"/>
      <c r="U1408" s="354"/>
      <c r="V1408" s="354"/>
      <c r="W1408" s="354"/>
      <c r="X1408" s="354"/>
      <c r="Y1408" s="354"/>
      <c r="Z1408" s="354"/>
      <c r="AA1408" s="354"/>
      <c r="AB1408" s="354"/>
      <c r="AC1408" s="354"/>
      <c r="AD1408" s="354"/>
      <c r="AE1408" s="354"/>
      <c r="AF1408" s="354"/>
      <c r="AG1408" s="354"/>
      <c r="AH1408" s="354"/>
      <c r="AI1408" s="354"/>
      <c r="AJ1408" s="354"/>
      <c r="AK1408" s="354"/>
      <c r="AL1408" s="354"/>
      <c r="AM1408" s="354"/>
      <c r="AN1408" s="354"/>
      <c r="AO1408" s="354"/>
      <c r="AP1408" s="354"/>
      <c r="AQ1408" s="354"/>
      <c r="AR1408" s="354"/>
      <c r="AS1408" s="354"/>
      <c r="AT1408" s="354"/>
      <c r="AU1408" s="354"/>
      <c r="AV1408" s="354"/>
      <c r="AW1408" s="354"/>
    </row>
    <row r="1409" spans="1:49">
      <c r="A1409" s="354"/>
      <c r="B1409" s="354"/>
      <c r="C1409" s="354"/>
      <c r="D1409" s="354"/>
      <c r="E1409" s="354"/>
      <c r="F1409" s="354"/>
      <c r="G1409" s="354"/>
      <c r="H1409" s="354"/>
      <c r="I1409" s="354"/>
      <c r="J1409" s="354"/>
      <c r="K1409" s="354"/>
      <c r="L1409" s="354"/>
      <c r="M1409" s="354"/>
      <c r="N1409" s="354"/>
      <c r="O1409" s="354"/>
      <c r="P1409" s="354"/>
      <c r="Q1409" s="354"/>
      <c r="R1409" s="354"/>
      <c r="S1409" s="354"/>
      <c r="T1409" s="354"/>
      <c r="U1409" s="354"/>
      <c r="V1409" s="354"/>
      <c r="W1409" s="354"/>
      <c r="X1409" s="354"/>
      <c r="Y1409" s="354"/>
      <c r="Z1409" s="354"/>
      <c r="AA1409" s="354"/>
      <c r="AB1409" s="354"/>
      <c r="AC1409" s="354"/>
      <c r="AD1409" s="354"/>
      <c r="AE1409" s="354"/>
      <c r="AF1409" s="354"/>
      <c r="AG1409" s="354"/>
      <c r="AH1409" s="354"/>
      <c r="AI1409" s="354"/>
      <c r="AJ1409" s="354"/>
      <c r="AK1409" s="354"/>
      <c r="AL1409" s="354"/>
      <c r="AM1409" s="354"/>
      <c r="AN1409" s="354"/>
      <c r="AO1409" s="354"/>
      <c r="AP1409" s="354"/>
      <c r="AQ1409" s="354"/>
      <c r="AR1409" s="354"/>
      <c r="AS1409" s="354"/>
      <c r="AT1409" s="354"/>
      <c r="AU1409" s="354"/>
      <c r="AV1409" s="354"/>
      <c r="AW1409" s="354"/>
    </row>
    <row r="1410" spans="1:49">
      <c r="A1410" s="354"/>
      <c r="B1410" s="354"/>
      <c r="C1410" s="354"/>
      <c r="D1410" s="354"/>
      <c r="E1410" s="354"/>
      <c r="F1410" s="354"/>
      <c r="G1410" s="354"/>
      <c r="H1410" s="354"/>
      <c r="I1410" s="354"/>
      <c r="J1410" s="354"/>
      <c r="K1410" s="354"/>
      <c r="L1410" s="354"/>
      <c r="M1410" s="354"/>
      <c r="N1410" s="354"/>
      <c r="O1410" s="354"/>
      <c r="P1410" s="354"/>
      <c r="Q1410" s="354"/>
      <c r="R1410" s="354"/>
      <c r="S1410" s="354"/>
      <c r="T1410" s="354"/>
      <c r="U1410" s="354"/>
      <c r="V1410" s="354"/>
      <c r="W1410" s="354"/>
      <c r="X1410" s="354"/>
      <c r="Y1410" s="354"/>
      <c r="Z1410" s="354"/>
      <c r="AA1410" s="354"/>
      <c r="AB1410" s="354"/>
      <c r="AC1410" s="354"/>
      <c r="AD1410" s="354"/>
      <c r="AE1410" s="354"/>
      <c r="AF1410" s="354"/>
      <c r="AG1410" s="354"/>
      <c r="AH1410" s="354"/>
      <c r="AI1410" s="354"/>
      <c r="AJ1410" s="354"/>
      <c r="AK1410" s="354"/>
      <c r="AL1410" s="354"/>
      <c r="AM1410" s="354"/>
      <c r="AN1410" s="354"/>
      <c r="AO1410" s="354"/>
      <c r="AP1410" s="354"/>
      <c r="AQ1410" s="354"/>
      <c r="AR1410" s="354"/>
      <c r="AS1410" s="354"/>
      <c r="AT1410" s="354"/>
      <c r="AU1410" s="354"/>
      <c r="AV1410" s="354"/>
      <c r="AW1410" s="354"/>
    </row>
    <row r="1411" spans="1:49">
      <c r="A1411" s="354"/>
      <c r="B1411" s="354"/>
      <c r="C1411" s="354"/>
      <c r="D1411" s="354"/>
      <c r="E1411" s="354"/>
      <c r="F1411" s="354"/>
      <c r="G1411" s="354"/>
      <c r="H1411" s="354"/>
      <c r="I1411" s="354"/>
      <c r="J1411" s="354"/>
      <c r="K1411" s="354"/>
      <c r="L1411" s="354"/>
      <c r="M1411" s="354"/>
      <c r="N1411" s="354"/>
      <c r="O1411" s="354"/>
      <c r="P1411" s="354"/>
      <c r="Q1411" s="354"/>
      <c r="R1411" s="354"/>
      <c r="S1411" s="354"/>
      <c r="T1411" s="354"/>
      <c r="U1411" s="354"/>
      <c r="V1411" s="354"/>
      <c r="W1411" s="354"/>
      <c r="X1411" s="354"/>
      <c r="Y1411" s="354"/>
      <c r="Z1411" s="354"/>
      <c r="AA1411" s="354"/>
      <c r="AB1411" s="354"/>
      <c r="AC1411" s="354"/>
      <c r="AD1411" s="354"/>
      <c r="AE1411" s="354"/>
      <c r="AF1411" s="354"/>
      <c r="AG1411" s="354"/>
      <c r="AH1411" s="354"/>
      <c r="AI1411" s="354"/>
      <c r="AJ1411" s="354"/>
      <c r="AK1411" s="354"/>
      <c r="AL1411" s="354"/>
      <c r="AM1411" s="354"/>
      <c r="AN1411" s="354"/>
      <c r="AO1411" s="354"/>
      <c r="AP1411" s="354"/>
      <c r="AQ1411" s="354"/>
      <c r="AR1411" s="354"/>
      <c r="AS1411" s="354"/>
      <c r="AT1411" s="354"/>
      <c r="AU1411" s="354"/>
      <c r="AV1411" s="354"/>
      <c r="AW1411" s="354"/>
    </row>
    <row r="1412" spans="1:49">
      <c r="A1412" s="354"/>
      <c r="B1412" s="354"/>
      <c r="C1412" s="354"/>
      <c r="D1412" s="354"/>
      <c r="E1412" s="354"/>
      <c r="F1412" s="354"/>
      <c r="G1412" s="354"/>
      <c r="H1412" s="354"/>
      <c r="I1412" s="354"/>
      <c r="J1412" s="354"/>
      <c r="K1412" s="354"/>
      <c r="L1412" s="354"/>
      <c r="M1412" s="354"/>
      <c r="N1412" s="354"/>
      <c r="O1412" s="354"/>
      <c r="P1412" s="354"/>
      <c r="Q1412" s="354"/>
      <c r="R1412" s="354"/>
      <c r="S1412" s="354"/>
      <c r="T1412" s="354"/>
      <c r="U1412" s="354"/>
      <c r="V1412" s="354"/>
      <c r="W1412" s="354"/>
      <c r="X1412" s="354"/>
      <c r="Y1412" s="354"/>
      <c r="Z1412" s="354"/>
      <c r="AA1412" s="354"/>
      <c r="AB1412" s="354"/>
      <c r="AC1412" s="354"/>
      <c r="AD1412" s="354"/>
      <c r="AE1412" s="354"/>
      <c r="AF1412" s="354"/>
      <c r="AG1412" s="354"/>
      <c r="AH1412" s="354"/>
      <c r="AI1412" s="354"/>
      <c r="AJ1412" s="354"/>
      <c r="AK1412" s="354"/>
      <c r="AL1412" s="354"/>
      <c r="AM1412" s="354"/>
      <c r="AN1412" s="354"/>
      <c r="AO1412" s="354"/>
      <c r="AP1412" s="354"/>
      <c r="AQ1412" s="354"/>
      <c r="AR1412" s="354"/>
      <c r="AS1412" s="354"/>
      <c r="AT1412" s="354"/>
      <c r="AU1412" s="354"/>
      <c r="AV1412" s="354"/>
      <c r="AW1412" s="354"/>
    </row>
    <row r="1413" spans="1:49">
      <c r="A1413" s="354"/>
      <c r="B1413" s="354"/>
      <c r="C1413" s="354"/>
      <c r="D1413" s="354"/>
      <c r="E1413" s="354"/>
      <c r="F1413" s="354"/>
      <c r="G1413" s="354"/>
      <c r="H1413" s="354"/>
      <c r="I1413" s="354"/>
      <c r="J1413" s="354"/>
      <c r="K1413" s="354"/>
      <c r="L1413" s="354"/>
      <c r="M1413" s="354"/>
      <c r="N1413" s="354"/>
      <c r="O1413" s="354"/>
      <c r="P1413" s="354"/>
      <c r="Q1413" s="354"/>
      <c r="R1413" s="354"/>
      <c r="S1413" s="354"/>
      <c r="T1413" s="354"/>
      <c r="U1413" s="354"/>
      <c r="V1413" s="354"/>
      <c r="W1413" s="354"/>
      <c r="X1413" s="354"/>
      <c r="Y1413" s="354"/>
      <c r="Z1413" s="354"/>
      <c r="AA1413" s="354"/>
      <c r="AB1413" s="354"/>
      <c r="AC1413" s="354"/>
      <c r="AD1413" s="354"/>
      <c r="AE1413" s="354"/>
      <c r="AF1413" s="354"/>
      <c r="AG1413" s="354"/>
      <c r="AH1413" s="354"/>
      <c r="AI1413" s="354"/>
      <c r="AJ1413" s="354"/>
      <c r="AK1413" s="354"/>
      <c r="AL1413" s="354"/>
      <c r="AM1413" s="354"/>
      <c r="AN1413" s="354"/>
      <c r="AO1413" s="354"/>
      <c r="AP1413" s="354"/>
      <c r="AQ1413" s="354"/>
      <c r="AR1413" s="354"/>
      <c r="AS1413" s="354"/>
      <c r="AT1413" s="354"/>
      <c r="AU1413" s="354"/>
      <c r="AV1413" s="354"/>
      <c r="AW1413" s="354"/>
    </row>
    <row r="1414" spans="1:49">
      <c r="A1414" s="354"/>
      <c r="B1414" s="354"/>
      <c r="C1414" s="354"/>
      <c r="D1414" s="354"/>
      <c r="E1414" s="354"/>
      <c r="F1414" s="354"/>
      <c r="G1414" s="354"/>
      <c r="H1414" s="354"/>
      <c r="I1414" s="354"/>
      <c r="J1414" s="354"/>
      <c r="K1414" s="354"/>
      <c r="L1414" s="354"/>
      <c r="M1414" s="354"/>
      <c r="N1414" s="354"/>
      <c r="O1414" s="354"/>
      <c r="P1414" s="354"/>
      <c r="Q1414" s="354"/>
      <c r="R1414" s="354"/>
      <c r="S1414" s="354"/>
      <c r="T1414" s="354"/>
      <c r="U1414" s="354"/>
      <c r="V1414" s="354"/>
      <c r="W1414" s="354"/>
      <c r="X1414" s="354"/>
      <c r="Y1414" s="354"/>
      <c r="Z1414" s="354"/>
      <c r="AA1414" s="354"/>
      <c r="AB1414" s="354"/>
      <c r="AC1414" s="354"/>
      <c r="AD1414" s="354"/>
      <c r="AE1414" s="354"/>
      <c r="AF1414" s="354"/>
      <c r="AG1414" s="354"/>
      <c r="AH1414" s="354"/>
      <c r="AI1414" s="354"/>
      <c r="AJ1414" s="354"/>
      <c r="AK1414" s="354"/>
      <c r="AL1414" s="354"/>
      <c r="AM1414" s="354"/>
      <c r="AN1414" s="354"/>
      <c r="AO1414" s="354"/>
      <c r="AP1414" s="354"/>
      <c r="AQ1414" s="354"/>
      <c r="AR1414" s="354"/>
      <c r="AS1414" s="354"/>
      <c r="AT1414" s="354"/>
      <c r="AU1414" s="354"/>
      <c r="AV1414" s="354"/>
      <c r="AW1414" s="354"/>
    </row>
    <row r="1415" spans="1:49">
      <c r="A1415" s="354"/>
      <c r="B1415" s="354"/>
      <c r="C1415" s="354"/>
      <c r="D1415" s="354"/>
      <c r="E1415" s="354"/>
      <c r="F1415" s="354"/>
      <c r="G1415" s="354"/>
      <c r="H1415" s="354"/>
      <c r="I1415" s="354"/>
      <c r="J1415" s="354"/>
      <c r="K1415" s="354"/>
      <c r="L1415" s="354"/>
      <c r="M1415" s="354"/>
      <c r="N1415" s="354"/>
      <c r="O1415" s="354"/>
      <c r="P1415" s="354"/>
      <c r="Q1415" s="354"/>
      <c r="R1415" s="354"/>
      <c r="S1415" s="354"/>
      <c r="T1415" s="354"/>
      <c r="U1415" s="354"/>
      <c r="V1415" s="354"/>
      <c r="W1415" s="354"/>
      <c r="X1415" s="354"/>
      <c r="Y1415" s="354"/>
      <c r="Z1415" s="354"/>
      <c r="AA1415" s="354"/>
      <c r="AB1415" s="354"/>
      <c r="AC1415" s="354"/>
      <c r="AD1415" s="354"/>
      <c r="AE1415" s="354"/>
      <c r="AF1415" s="354"/>
      <c r="AG1415" s="354"/>
      <c r="AH1415" s="354"/>
      <c r="AI1415" s="354"/>
      <c r="AJ1415" s="354"/>
      <c r="AK1415" s="354"/>
      <c r="AL1415" s="354"/>
      <c r="AM1415" s="354"/>
      <c r="AN1415" s="354"/>
      <c r="AO1415" s="354"/>
      <c r="AP1415" s="354"/>
      <c r="AQ1415" s="354"/>
      <c r="AR1415" s="354"/>
      <c r="AS1415" s="354"/>
      <c r="AT1415" s="354"/>
      <c r="AU1415" s="354"/>
      <c r="AV1415" s="354"/>
      <c r="AW1415" s="354"/>
    </row>
    <row r="1416" spans="1:49">
      <c r="A1416" s="354"/>
      <c r="B1416" s="354"/>
      <c r="C1416" s="354"/>
      <c r="D1416" s="354"/>
      <c r="E1416" s="354"/>
      <c r="F1416" s="354"/>
      <c r="G1416" s="354"/>
      <c r="H1416" s="354"/>
      <c r="I1416" s="354"/>
      <c r="J1416" s="354"/>
      <c r="K1416" s="354"/>
      <c r="L1416" s="354"/>
      <c r="M1416" s="354"/>
      <c r="N1416" s="354"/>
      <c r="O1416" s="354"/>
      <c r="P1416" s="354"/>
      <c r="Q1416" s="354"/>
      <c r="R1416" s="354"/>
      <c r="S1416" s="354"/>
      <c r="T1416" s="354"/>
      <c r="U1416" s="354"/>
      <c r="V1416" s="354"/>
      <c r="W1416" s="354"/>
      <c r="X1416" s="354"/>
      <c r="Y1416" s="354"/>
      <c r="Z1416" s="354"/>
      <c r="AA1416" s="354"/>
      <c r="AB1416" s="354"/>
      <c r="AC1416" s="354"/>
      <c r="AD1416" s="354"/>
      <c r="AE1416" s="354"/>
      <c r="AF1416" s="354"/>
      <c r="AG1416" s="354"/>
      <c r="AH1416" s="354"/>
      <c r="AI1416" s="354"/>
      <c r="AJ1416" s="354"/>
      <c r="AK1416" s="354"/>
      <c r="AL1416" s="354"/>
      <c r="AM1416" s="354"/>
      <c r="AN1416" s="354"/>
      <c r="AO1416" s="354"/>
      <c r="AP1416" s="354"/>
      <c r="AQ1416" s="354"/>
      <c r="AR1416" s="354"/>
      <c r="AS1416" s="354"/>
      <c r="AT1416" s="354"/>
      <c r="AU1416" s="354"/>
      <c r="AV1416" s="354"/>
      <c r="AW1416" s="354"/>
    </row>
    <row r="1417" spans="1:49">
      <c r="A1417" s="354"/>
      <c r="B1417" s="354"/>
      <c r="C1417" s="354"/>
      <c r="D1417" s="354"/>
      <c r="E1417" s="354"/>
      <c r="F1417" s="354"/>
      <c r="G1417" s="354"/>
      <c r="H1417" s="354"/>
      <c r="I1417" s="354"/>
      <c r="J1417" s="354"/>
      <c r="K1417" s="354"/>
      <c r="L1417" s="354"/>
      <c r="M1417" s="354"/>
      <c r="N1417" s="354"/>
      <c r="O1417" s="354"/>
      <c r="P1417" s="354"/>
      <c r="Q1417" s="354"/>
      <c r="R1417" s="354"/>
      <c r="S1417" s="354"/>
      <c r="T1417" s="354"/>
      <c r="U1417" s="354"/>
      <c r="V1417" s="354"/>
      <c r="W1417" s="354"/>
      <c r="X1417" s="354"/>
      <c r="Y1417" s="354"/>
      <c r="Z1417" s="354"/>
      <c r="AA1417" s="354"/>
      <c r="AB1417" s="354"/>
      <c r="AC1417" s="354"/>
      <c r="AD1417" s="354"/>
      <c r="AE1417" s="354"/>
      <c r="AF1417" s="354"/>
      <c r="AG1417" s="354"/>
      <c r="AH1417" s="354"/>
      <c r="AI1417" s="354"/>
      <c r="AJ1417" s="354"/>
      <c r="AK1417" s="354"/>
      <c r="AL1417" s="354"/>
      <c r="AM1417" s="354"/>
      <c r="AN1417" s="354"/>
      <c r="AO1417" s="354"/>
      <c r="AP1417" s="354"/>
      <c r="AQ1417" s="354"/>
      <c r="AR1417" s="354"/>
      <c r="AS1417" s="354"/>
      <c r="AT1417" s="354"/>
      <c r="AU1417" s="354"/>
      <c r="AV1417" s="354"/>
      <c r="AW1417" s="354"/>
    </row>
    <row r="1418" spans="1:49">
      <c r="A1418" s="354"/>
      <c r="B1418" s="354"/>
      <c r="C1418" s="354"/>
      <c r="D1418" s="354"/>
      <c r="E1418" s="354"/>
      <c r="F1418" s="354"/>
      <c r="G1418" s="354"/>
      <c r="H1418" s="354"/>
      <c r="I1418" s="354"/>
      <c r="J1418" s="354"/>
      <c r="K1418" s="354"/>
      <c r="L1418" s="354"/>
      <c r="M1418" s="354"/>
      <c r="N1418" s="354"/>
      <c r="O1418" s="354"/>
      <c r="P1418" s="354"/>
      <c r="Q1418" s="354"/>
      <c r="R1418" s="354"/>
      <c r="S1418" s="354"/>
      <c r="T1418" s="354"/>
      <c r="U1418" s="354"/>
      <c r="V1418" s="354"/>
      <c r="W1418" s="354"/>
      <c r="X1418" s="354"/>
      <c r="Y1418" s="354"/>
      <c r="Z1418" s="354"/>
      <c r="AA1418" s="354"/>
      <c r="AB1418" s="354"/>
      <c r="AC1418" s="354"/>
      <c r="AD1418" s="354"/>
      <c r="AE1418" s="354"/>
      <c r="AF1418" s="354"/>
      <c r="AG1418" s="354"/>
      <c r="AH1418" s="354"/>
      <c r="AI1418" s="354"/>
      <c r="AJ1418" s="354"/>
      <c r="AK1418" s="354"/>
      <c r="AL1418" s="354"/>
      <c r="AM1418" s="354"/>
      <c r="AN1418" s="354"/>
      <c r="AO1418" s="354"/>
      <c r="AP1418" s="354"/>
      <c r="AQ1418" s="354"/>
      <c r="AR1418" s="354"/>
      <c r="AS1418" s="354"/>
      <c r="AT1418" s="354"/>
      <c r="AU1418" s="354"/>
      <c r="AV1418" s="354"/>
      <c r="AW1418" s="354"/>
    </row>
    <row r="1419" spans="1:49">
      <c r="A1419" s="354"/>
      <c r="B1419" s="354"/>
      <c r="C1419" s="354"/>
      <c r="D1419" s="354"/>
      <c r="E1419" s="354"/>
      <c r="F1419" s="354"/>
      <c r="G1419" s="354"/>
      <c r="H1419" s="354"/>
      <c r="I1419" s="354"/>
      <c r="J1419" s="354"/>
      <c r="K1419" s="354"/>
      <c r="L1419" s="354"/>
      <c r="M1419" s="354"/>
      <c r="N1419" s="354"/>
      <c r="O1419" s="354"/>
      <c r="P1419" s="354"/>
      <c r="Q1419" s="354"/>
      <c r="R1419" s="354"/>
      <c r="S1419" s="354"/>
      <c r="T1419" s="354"/>
      <c r="U1419" s="354"/>
      <c r="V1419" s="354"/>
      <c r="W1419" s="354"/>
      <c r="X1419" s="354"/>
      <c r="Y1419" s="354"/>
      <c r="Z1419" s="354"/>
      <c r="AA1419" s="354"/>
      <c r="AB1419" s="354"/>
      <c r="AC1419" s="354"/>
      <c r="AD1419" s="354"/>
      <c r="AE1419" s="354"/>
      <c r="AF1419" s="354"/>
      <c r="AG1419" s="354"/>
      <c r="AH1419" s="354"/>
      <c r="AI1419" s="354"/>
      <c r="AJ1419" s="354"/>
      <c r="AK1419" s="354"/>
      <c r="AL1419" s="354"/>
      <c r="AM1419" s="354"/>
      <c r="AN1419" s="354"/>
      <c r="AO1419" s="354"/>
      <c r="AP1419" s="354"/>
      <c r="AQ1419" s="354"/>
      <c r="AR1419" s="354"/>
      <c r="AS1419" s="354"/>
      <c r="AT1419" s="354"/>
      <c r="AU1419" s="354"/>
      <c r="AV1419" s="354"/>
      <c r="AW1419" s="354"/>
    </row>
    <row r="1420" spans="1:49">
      <c r="A1420" s="354"/>
      <c r="B1420" s="354"/>
      <c r="C1420" s="354"/>
      <c r="D1420" s="354"/>
      <c r="E1420" s="354"/>
      <c r="F1420" s="354"/>
      <c r="G1420" s="354"/>
      <c r="H1420" s="354"/>
      <c r="I1420" s="354"/>
      <c r="J1420" s="354"/>
      <c r="K1420" s="354"/>
      <c r="L1420" s="354"/>
      <c r="M1420" s="354"/>
      <c r="N1420" s="354"/>
      <c r="O1420" s="354"/>
      <c r="P1420" s="354"/>
      <c r="Q1420" s="354"/>
      <c r="R1420" s="354"/>
      <c r="S1420" s="354"/>
      <c r="T1420" s="354"/>
      <c r="U1420" s="354"/>
      <c r="V1420" s="354"/>
      <c r="W1420" s="354"/>
      <c r="X1420" s="354"/>
      <c r="Y1420" s="354"/>
      <c r="Z1420" s="354"/>
      <c r="AA1420" s="354"/>
      <c r="AB1420" s="354"/>
      <c r="AC1420" s="354"/>
      <c r="AD1420" s="354"/>
      <c r="AE1420" s="354"/>
      <c r="AF1420" s="354"/>
      <c r="AG1420" s="354"/>
      <c r="AH1420" s="354"/>
      <c r="AI1420" s="354"/>
      <c r="AJ1420" s="354"/>
      <c r="AK1420" s="354"/>
      <c r="AL1420" s="354"/>
      <c r="AM1420" s="354"/>
      <c r="AN1420" s="354"/>
      <c r="AO1420" s="354"/>
      <c r="AP1420" s="354"/>
      <c r="AQ1420" s="354"/>
      <c r="AR1420" s="354"/>
      <c r="AS1420" s="354"/>
      <c r="AT1420" s="354"/>
      <c r="AU1420" s="354"/>
      <c r="AV1420" s="354"/>
      <c r="AW1420" s="354"/>
    </row>
    <row r="1421" spans="1:49">
      <c r="A1421" s="354"/>
      <c r="B1421" s="354"/>
      <c r="C1421" s="354"/>
      <c r="D1421" s="354"/>
      <c r="E1421" s="354"/>
      <c r="F1421" s="354"/>
      <c r="G1421" s="354"/>
      <c r="H1421" s="354"/>
      <c r="I1421" s="354"/>
      <c r="J1421" s="354"/>
      <c r="K1421" s="354"/>
      <c r="L1421" s="354"/>
      <c r="M1421" s="354"/>
      <c r="N1421" s="354"/>
      <c r="O1421" s="354"/>
      <c r="P1421" s="354"/>
      <c r="Q1421" s="354"/>
      <c r="R1421" s="354"/>
      <c r="S1421" s="354"/>
      <c r="T1421" s="354"/>
      <c r="U1421" s="354"/>
      <c r="V1421" s="354"/>
      <c r="W1421" s="354"/>
      <c r="X1421" s="354"/>
      <c r="Y1421" s="354"/>
      <c r="Z1421" s="354"/>
      <c r="AA1421" s="354"/>
      <c r="AB1421" s="354"/>
      <c r="AC1421" s="354"/>
      <c r="AD1421" s="354"/>
      <c r="AE1421" s="354"/>
      <c r="AF1421" s="354"/>
      <c r="AG1421" s="354"/>
      <c r="AH1421" s="354"/>
      <c r="AI1421" s="354"/>
      <c r="AJ1421" s="354"/>
      <c r="AK1421" s="354"/>
      <c r="AL1421" s="354"/>
      <c r="AM1421" s="354"/>
      <c r="AN1421" s="354"/>
      <c r="AO1421" s="354"/>
      <c r="AP1421" s="354"/>
      <c r="AQ1421" s="354"/>
      <c r="AR1421" s="354"/>
      <c r="AS1421" s="354"/>
      <c r="AT1421" s="354"/>
      <c r="AU1421" s="354"/>
      <c r="AV1421" s="354"/>
      <c r="AW1421" s="354"/>
    </row>
    <row r="1422" spans="1:49">
      <c r="A1422" s="354"/>
      <c r="B1422" s="354"/>
      <c r="C1422" s="354"/>
      <c r="D1422" s="354"/>
      <c r="E1422" s="354"/>
      <c r="F1422" s="354"/>
      <c r="G1422" s="354"/>
      <c r="H1422" s="354"/>
      <c r="I1422" s="354"/>
      <c r="J1422" s="354"/>
      <c r="K1422" s="354"/>
      <c r="L1422" s="354"/>
      <c r="M1422" s="354"/>
      <c r="N1422" s="354"/>
      <c r="O1422" s="354"/>
      <c r="P1422" s="354"/>
      <c r="Q1422" s="354"/>
      <c r="R1422" s="354"/>
      <c r="S1422" s="354"/>
      <c r="T1422" s="354"/>
      <c r="U1422" s="354"/>
      <c r="V1422" s="354"/>
      <c r="W1422" s="354"/>
      <c r="X1422" s="354"/>
      <c r="Y1422" s="354"/>
      <c r="Z1422" s="354"/>
      <c r="AA1422" s="354"/>
      <c r="AB1422" s="354"/>
      <c r="AC1422" s="354"/>
      <c r="AD1422" s="354"/>
      <c r="AE1422" s="354"/>
      <c r="AF1422" s="354"/>
      <c r="AG1422" s="354"/>
      <c r="AH1422" s="354"/>
      <c r="AI1422" s="354"/>
      <c r="AJ1422" s="354"/>
      <c r="AK1422" s="354"/>
      <c r="AL1422" s="354"/>
      <c r="AM1422" s="354"/>
      <c r="AN1422" s="354"/>
      <c r="AO1422" s="354"/>
      <c r="AP1422" s="354"/>
      <c r="AQ1422" s="354"/>
      <c r="AR1422" s="354"/>
      <c r="AS1422" s="354"/>
      <c r="AT1422" s="354"/>
      <c r="AU1422" s="354"/>
      <c r="AV1422" s="354"/>
      <c r="AW1422" s="354"/>
    </row>
    <row r="1423" spans="1:49">
      <c r="A1423" s="354"/>
      <c r="B1423" s="354"/>
      <c r="C1423" s="354"/>
      <c r="D1423" s="354"/>
      <c r="E1423" s="354"/>
      <c r="F1423" s="354"/>
      <c r="G1423" s="354"/>
      <c r="H1423" s="354"/>
      <c r="I1423" s="354"/>
      <c r="J1423" s="354"/>
      <c r="K1423" s="354"/>
      <c r="L1423" s="354"/>
      <c r="M1423" s="354"/>
      <c r="N1423" s="354"/>
      <c r="O1423" s="354"/>
      <c r="P1423" s="354"/>
      <c r="Q1423" s="354"/>
      <c r="R1423" s="354"/>
      <c r="S1423" s="354"/>
      <c r="T1423" s="354"/>
      <c r="U1423" s="354"/>
      <c r="V1423" s="354"/>
      <c r="W1423" s="354"/>
      <c r="X1423" s="354"/>
      <c r="Y1423" s="354"/>
      <c r="Z1423" s="354"/>
      <c r="AA1423" s="354"/>
      <c r="AB1423" s="354"/>
      <c r="AC1423" s="354"/>
      <c r="AD1423" s="354"/>
      <c r="AE1423" s="354"/>
      <c r="AF1423" s="354"/>
      <c r="AG1423" s="354"/>
      <c r="AH1423" s="354"/>
      <c r="AI1423" s="354"/>
      <c r="AJ1423" s="354"/>
      <c r="AK1423" s="354"/>
      <c r="AL1423" s="354"/>
      <c r="AM1423" s="354"/>
      <c r="AN1423" s="354"/>
      <c r="AO1423" s="354"/>
      <c r="AP1423" s="354"/>
      <c r="AQ1423" s="354"/>
      <c r="AR1423" s="354"/>
      <c r="AS1423" s="354"/>
      <c r="AT1423" s="354"/>
      <c r="AU1423" s="354"/>
      <c r="AV1423" s="354"/>
      <c r="AW1423" s="354"/>
    </row>
    <row r="1424" spans="1:49">
      <c r="A1424" s="354"/>
      <c r="B1424" s="354"/>
      <c r="C1424" s="354"/>
      <c r="D1424" s="354"/>
      <c r="E1424" s="354"/>
      <c r="F1424" s="354"/>
      <c r="G1424" s="354"/>
      <c r="H1424" s="354"/>
      <c r="I1424" s="354"/>
      <c r="J1424" s="354"/>
      <c r="K1424" s="354"/>
      <c r="L1424" s="354"/>
      <c r="M1424" s="354"/>
      <c r="N1424" s="354"/>
      <c r="O1424" s="354"/>
      <c r="P1424" s="354"/>
      <c r="Q1424" s="354"/>
      <c r="R1424" s="354"/>
      <c r="S1424" s="354"/>
      <c r="T1424" s="354"/>
      <c r="U1424" s="354"/>
      <c r="V1424" s="354"/>
      <c r="W1424" s="354"/>
      <c r="X1424" s="354"/>
      <c r="Y1424" s="354"/>
      <c r="Z1424" s="354"/>
      <c r="AA1424" s="354"/>
      <c r="AB1424" s="354"/>
      <c r="AC1424" s="354"/>
      <c r="AD1424" s="354"/>
      <c r="AE1424" s="354"/>
      <c r="AF1424" s="354"/>
      <c r="AG1424" s="354"/>
      <c r="AH1424" s="354"/>
      <c r="AI1424" s="354"/>
      <c r="AJ1424" s="354"/>
      <c r="AK1424" s="354"/>
      <c r="AL1424" s="354"/>
      <c r="AM1424" s="354"/>
      <c r="AN1424" s="354"/>
      <c r="AO1424" s="354"/>
      <c r="AP1424" s="354"/>
      <c r="AQ1424" s="354"/>
      <c r="AR1424" s="354"/>
      <c r="AS1424" s="354"/>
      <c r="AT1424" s="354"/>
      <c r="AU1424" s="354"/>
      <c r="AV1424" s="354"/>
      <c r="AW1424" s="354"/>
    </row>
    <row r="1425" spans="1:49">
      <c r="A1425" s="354"/>
      <c r="B1425" s="354"/>
      <c r="C1425" s="354"/>
      <c r="D1425" s="354"/>
      <c r="E1425" s="354"/>
      <c r="F1425" s="354"/>
      <c r="G1425" s="354"/>
      <c r="H1425" s="354"/>
      <c r="I1425" s="354"/>
      <c r="J1425" s="354"/>
      <c r="K1425" s="354"/>
      <c r="L1425" s="354"/>
      <c r="M1425" s="354"/>
      <c r="N1425" s="354"/>
      <c r="O1425" s="354"/>
      <c r="P1425" s="354"/>
      <c r="Q1425" s="354"/>
      <c r="R1425" s="354"/>
      <c r="S1425" s="354"/>
      <c r="T1425" s="354"/>
      <c r="U1425" s="354"/>
      <c r="V1425" s="354"/>
      <c r="W1425" s="354"/>
      <c r="X1425" s="354"/>
      <c r="Y1425" s="354"/>
      <c r="Z1425" s="354"/>
      <c r="AA1425" s="354"/>
      <c r="AB1425" s="354"/>
      <c r="AC1425" s="354"/>
      <c r="AD1425" s="354"/>
      <c r="AE1425" s="354"/>
      <c r="AF1425" s="354"/>
      <c r="AG1425" s="354"/>
      <c r="AH1425" s="354"/>
      <c r="AI1425" s="354"/>
      <c r="AJ1425" s="354"/>
      <c r="AK1425" s="354"/>
      <c r="AL1425" s="354"/>
      <c r="AM1425" s="354"/>
      <c r="AN1425" s="354"/>
      <c r="AO1425" s="354"/>
      <c r="AP1425" s="354"/>
      <c r="AQ1425" s="354"/>
      <c r="AR1425" s="354"/>
      <c r="AS1425" s="354"/>
      <c r="AT1425" s="354"/>
      <c r="AU1425" s="354"/>
      <c r="AV1425" s="354"/>
      <c r="AW1425" s="354"/>
    </row>
    <row r="1426" spans="1:49">
      <c r="A1426" s="354"/>
      <c r="B1426" s="354"/>
      <c r="C1426" s="354"/>
      <c r="D1426" s="354"/>
      <c r="E1426" s="354"/>
      <c r="F1426" s="354"/>
      <c r="G1426" s="354"/>
      <c r="H1426" s="354"/>
      <c r="I1426" s="354"/>
      <c r="J1426" s="354"/>
      <c r="K1426" s="354"/>
      <c r="L1426" s="354"/>
      <c r="M1426" s="354"/>
      <c r="N1426" s="354"/>
      <c r="O1426" s="354"/>
      <c r="P1426" s="354"/>
      <c r="Q1426" s="354"/>
      <c r="R1426" s="354"/>
      <c r="S1426" s="354"/>
      <c r="T1426" s="354"/>
      <c r="U1426" s="354"/>
      <c r="V1426" s="354"/>
      <c r="W1426" s="354"/>
      <c r="X1426" s="354"/>
      <c r="Y1426" s="354"/>
      <c r="Z1426" s="354"/>
      <c r="AA1426" s="354"/>
      <c r="AB1426" s="354"/>
      <c r="AC1426" s="354"/>
      <c r="AD1426" s="354"/>
      <c r="AE1426" s="354"/>
      <c r="AF1426" s="354"/>
      <c r="AG1426" s="354"/>
      <c r="AH1426" s="354"/>
      <c r="AI1426" s="354"/>
      <c r="AJ1426" s="354"/>
      <c r="AK1426" s="354"/>
      <c r="AL1426" s="354"/>
      <c r="AM1426" s="354"/>
      <c r="AN1426" s="354"/>
      <c r="AO1426" s="354"/>
      <c r="AP1426" s="354"/>
      <c r="AQ1426" s="354"/>
      <c r="AR1426" s="354"/>
      <c r="AS1426" s="354"/>
      <c r="AT1426" s="354"/>
      <c r="AU1426" s="354"/>
      <c r="AV1426" s="354"/>
      <c r="AW1426" s="354"/>
    </row>
    <row r="1427" spans="1:49">
      <c r="A1427" s="354"/>
      <c r="B1427" s="354"/>
      <c r="C1427" s="354"/>
      <c r="D1427" s="354"/>
      <c r="E1427" s="354"/>
      <c r="F1427" s="354"/>
      <c r="G1427" s="354"/>
      <c r="H1427" s="354"/>
      <c r="I1427" s="354"/>
      <c r="J1427" s="354"/>
      <c r="K1427" s="354"/>
      <c r="L1427" s="354"/>
      <c r="M1427" s="354"/>
      <c r="N1427" s="354"/>
      <c r="O1427" s="354"/>
      <c r="P1427" s="354"/>
      <c r="Q1427" s="354"/>
      <c r="R1427" s="354"/>
      <c r="S1427" s="354"/>
      <c r="T1427" s="354"/>
      <c r="U1427" s="354"/>
      <c r="V1427" s="354"/>
      <c r="W1427" s="354"/>
      <c r="X1427" s="354"/>
      <c r="Y1427" s="354"/>
      <c r="Z1427" s="354"/>
      <c r="AA1427" s="354"/>
      <c r="AB1427" s="354"/>
      <c r="AC1427" s="354"/>
      <c r="AD1427" s="354"/>
      <c r="AE1427" s="354"/>
      <c r="AF1427" s="354"/>
      <c r="AG1427" s="354"/>
      <c r="AH1427" s="354"/>
      <c r="AI1427" s="354"/>
      <c r="AJ1427" s="354"/>
      <c r="AK1427" s="354"/>
      <c r="AL1427" s="354"/>
      <c r="AM1427" s="354"/>
      <c r="AN1427" s="354"/>
      <c r="AO1427" s="354"/>
      <c r="AP1427" s="354"/>
      <c r="AQ1427" s="354"/>
      <c r="AR1427" s="354"/>
      <c r="AS1427" s="354"/>
      <c r="AT1427" s="354"/>
      <c r="AU1427" s="354"/>
      <c r="AV1427" s="354"/>
      <c r="AW1427" s="354"/>
    </row>
    <row r="1428" spans="1:49">
      <c r="A1428" s="354"/>
      <c r="B1428" s="354"/>
      <c r="C1428" s="354"/>
      <c r="D1428" s="354"/>
      <c r="E1428" s="354"/>
      <c r="F1428" s="354"/>
      <c r="G1428" s="354"/>
      <c r="H1428" s="354"/>
      <c r="I1428" s="354"/>
      <c r="J1428" s="354"/>
      <c r="K1428" s="354"/>
      <c r="L1428" s="354"/>
      <c r="M1428" s="354"/>
      <c r="N1428" s="354"/>
      <c r="O1428" s="354"/>
      <c r="P1428" s="354"/>
      <c r="Q1428" s="354"/>
      <c r="R1428" s="354"/>
      <c r="S1428" s="354"/>
      <c r="T1428" s="354"/>
      <c r="U1428" s="354"/>
      <c r="V1428" s="354"/>
      <c r="W1428" s="354"/>
      <c r="X1428" s="354"/>
      <c r="Y1428" s="354"/>
      <c r="Z1428" s="354"/>
      <c r="AA1428" s="354"/>
      <c r="AB1428" s="354"/>
      <c r="AC1428" s="354"/>
      <c r="AD1428" s="354"/>
      <c r="AE1428" s="354"/>
      <c r="AF1428" s="354"/>
      <c r="AG1428" s="354"/>
      <c r="AH1428" s="354"/>
      <c r="AI1428" s="354"/>
      <c r="AJ1428" s="354"/>
      <c r="AK1428" s="354"/>
      <c r="AL1428" s="354"/>
      <c r="AM1428" s="354"/>
      <c r="AN1428" s="354"/>
      <c r="AO1428" s="354"/>
      <c r="AP1428" s="354"/>
      <c r="AQ1428" s="354"/>
      <c r="AR1428" s="354"/>
      <c r="AS1428" s="354"/>
      <c r="AT1428" s="354"/>
      <c r="AU1428" s="354"/>
      <c r="AV1428" s="354"/>
      <c r="AW1428" s="354"/>
    </row>
    <row r="1429" spans="1:49">
      <c r="A1429" s="354"/>
      <c r="B1429" s="354"/>
      <c r="C1429" s="354"/>
      <c r="D1429" s="354"/>
      <c r="E1429" s="354"/>
      <c r="F1429" s="354"/>
      <c r="G1429" s="354"/>
      <c r="H1429" s="354"/>
      <c r="I1429" s="354"/>
      <c r="J1429" s="354"/>
      <c r="K1429" s="354"/>
      <c r="L1429" s="354"/>
      <c r="M1429" s="354"/>
      <c r="N1429" s="354"/>
      <c r="O1429" s="354"/>
      <c r="P1429" s="354"/>
      <c r="Q1429" s="354"/>
      <c r="R1429" s="354"/>
      <c r="S1429" s="354"/>
      <c r="T1429" s="354"/>
      <c r="U1429" s="354"/>
      <c r="V1429" s="354"/>
      <c r="W1429" s="354"/>
      <c r="X1429" s="354"/>
      <c r="Y1429" s="354"/>
      <c r="Z1429" s="354"/>
      <c r="AA1429" s="354"/>
      <c r="AB1429" s="354"/>
      <c r="AC1429" s="354"/>
      <c r="AD1429" s="354"/>
      <c r="AE1429" s="354"/>
      <c r="AF1429" s="354"/>
      <c r="AG1429" s="354"/>
      <c r="AH1429" s="354"/>
      <c r="AI1429" s="354"/>
      <c r="AJ1429" s="354"/>
      <c r="AK1429" s="354"/>
      <c r="AL1429" s="354"/>
      <c r="AM1429" s="354"/>
      <c r="AN1429" s="354"/>
      <c r="AO1429" s="354"/>
      <c r="AP1429" s="354"/>
      <c r="AQ1429" s="354"/>
      <c r="AR1429" s="354"/>
      <c r="AS1429" s="354"/>
      <c r="AT1429" s="354"/>
      <c r="AU1429" s="354"/>
      <c r="AV1429" s="354"/>
      <c r="AW1429" s="354"/>
    </row>
    <row r="1430" spans="1:49">
      <c r="A1430" s="354"/>
      <c r="B1430" s="354"/>
      <c r="C1430" s="354"/>
      <c r="D1430" s="354"/>
      <c r="E1430" s="354"/>
      <c r="F1430" s="354"/>
      <c r="G1430" s="354"/>
      <c r="H1430" s="354"/>
      <c r="I1430" s="354"/>
      <c r="J1430" s="354"/>
      <c r="K1430" s="354"/>
      <c r="L1430" s="354"/>
      <c r="M1430" s="354"/>
      <c r="N1430" s="354"/>
      <c r="O1430" s="354"/>
      <c r="P1430" s="354"/>
      <c r="Q1430" s="354"/>
      <c r="R1430" s="354"/>
      <c r="S1430" s="354"/>
      <c r="T1430" s="354"/>
      <c r="U1430" s="354"/>
      <c r="V1430" s="354"/>
      <c r="W1430" s="354"/>
      <c r="X1430" s="354"/>
      <c r="Y1430" s="354"/>
      <c r="Z1430" s="354"/>
      <c r="AA1430" s="354"/>
      <c r="AB1430" s="354"/>
      <c r="AC1430" s="354"/>
      <c r="AD1430" s="354"/>
      <c r="AE1430" s="354"/>
      <c r="AF1430" s="354"/>
      <c r="AG1430" s="354"/>
      <c r="AH1430" s="354"/>
      <c r="AI1430" s="354"/>
      <c r="AJ1430" s="354"/>
      <c r="AK1430" s="354"/>
      <c r="AL1430" s="354"/>
      <c r="AM1430" s="354"/>
      <c r="AN1430" s="354"/>
      <c r="AO1430" s="354"/>
      <c r="AP1430" s="354"/>
      <c r="AQ1430" s="354"/>
      <c r="AR1430" s="354"/>
      <c r="AS1430" s="354"/>
      <c r="AT1430" s="354"/>
      <c r="AU1430" s="354"/>
      <c r="AV1430" s="354"/>
      <c r="AW1430" s="354"/>
    </row>
    <row r="1431" spans="1:49">
      <c r="A1431" s="354"/>
      <c r="B1431" s="354"/>
      <c r="C1431" s="354"/>
      <c r="D1431" s="354"/>
      <c r="E1431" s="354"/>
      <c r="F1431" s="354"/>
      <c r="G1431" s="354"/>
      <c r="H1431" s="354"/>
      <c r="I1431" s="354"/>
      <c r="J1431" s="354"/>
      <c r="K1431" s="354"/>
      <c r="L1431" s="354"/>
      <c r="M1431" s="354"/>
      <c r="N1431" s="354"/>
      <c r="O1431" s="354"/>
      <c r="P1431" s="354"/>
      <c r="Q1431" s="354"/>
      <c r="R1431" s="354"/>
      <c r="S1431" s="354"/>
      <c r="T1431" s="354"/>
      <c r="U1431" s="354"/>
      <c r="V1431" s="354"/>
      <c r="W1431" s="354"/>
      <c r="X1431" s="354"/>
      <c r="Y1431" s="354"/>
      <c r="Z1431" s="354"/>
      <c r="AA1431" s="354"/>
      <c r="AB1431" s="354"/>
      <c r="AC1431" s="354"/>
      <c r="AD1431" s="354"/>
      <c r="AE1431" s="354"/>
      <c r="AF1431" s="354"/>
      <c r="AG1431" s="354"/>
      <c r="AH1431" s="354"/>
      <c r="AI1431" s="354"/>
      <c r="AJ1431" s="354"/>
      <c r="AK1431" s="354"/>
      <c r="AL1431" s="354"/>
      <c r="AM1431" s="354"/>
      <c r="AN1431" s="354"/>
      <c r="AO1431" s="354"/>
      <c r="AP1431" s="354"/>
      <c r="AQ1431" s="354"/>
      <c r="AR1431" s="354"/>
      <c r="AS1431" s="354"/>
      <c r="AT1431" s="354"/>
      <c r="AU1431" s="354"/>
      <c r="AV1431" s="354"/>
      <c r="AW1431" s="354"/>
    </row>
    <row r="1432" spans="1:49">
      <c r="A1432" s="354"/>
      <c r="B1432" s="354"/>
      <c r="C1432" s="354"/>
      <c r="D1432" s="354"/>
      <c r="E1432" s="354"/>
      <c r="F1432" s="354"/>
      <c r="G1432" s="354"/>
      <c r="H1432" s="354"/>
      <c r="I1432" s="354"/>
      <c r="J1432" s="354"/>
      <c r="K1432" s="354"/>
      <c r="L1432" s="354"/>
      <c r="M1432" s="354"/>
      <c r="N1432" s="354"/>
      <c r="O1432" s="354"/>
      <c r="P1432" s="354"/>
      <c r="Q1432" s="354"/>
      <c r="R1432" s="354"/>
      <c r="S1432" s="354"/>
      <c r="T1432" s="354"/>
      <c r="U1432" s="354"/>
      <c r="V1432" s="354"/>
      <c r="W1432" s="354"/>
      <c r="X1432" s="354"/>
      <c r="Y1432" s="354"/>
      <c r="Z1432" s="354"/>
      <c r="AA1432" s="354"/>
      <c r="AB1432" s="354"/>
      <c r="AC1432" s="354"/>
      <c r="AD1432" s="354"/>
      <c r="AE1432" s="354"/>
      <c r="AF1432" s="354"/>
      <c r="AG1432" s="354"/>
      <c r="AH1432" s="354"/>
      <c r="AI1432" s="354"/>
      <c r="AJ1432" s="354"/>
      <c r="AK1432" s="354"/>
      <c r="AL1432" s="354"/>
      <c r="AM1432" s="354"/>
      <c r="AN1432" s="354"/>
      <c r="AO1432" s="354"/>
      <c r="AP1432" s="354"/>
      <c r="AQ1432" s="354"/>
      <c r="AR1432" s="354"/>
      <c r="AS1432" s="354"/>
      <c r="AT1432" s="354"/>
      <c r="AU1432" s="354"/>
      <c r="AV1432" s="354"/>
      <c r="AW1432" s="354"/>
    </row>
    <row r="1433" spans="1:49">
      <c r="A1433" s="354"/>
      <c r="B1433" s="354"/>
      <c r="C1433" s="354"/>
      <c r="D1433" s="354"/>
      <c r="E1433" s="354"/>
      <c r="F1433" s="354"/>
      <c r="G1433" s="354"/>
      <c r="H1433" s="354"/>
      <c r="I1433" s="354"/>
      <c r="J1433" s="354"/>
      <c r="K1433" s="354"/>
      <c r="L1433" s="354"/>
      <c r="M1433" s="354"/>
      <c r="N1433" s="354"/>
      <c r="O1433" s="354"/>
      <c r="P1433" s="354"/>
      <c r="Q1433" s="354"/>
      <c r="R1433" s="354"/>
      <c r="S1433" s="354"/>
      <c r="T1433" s="354"/>
      <c r="U1433" s="354"/>
      <c r="V1433" s="354"/>
      <c r="W1433" s="354"/>
      <c r="X1433" s="354"/>
      <c r="Y1433" s="354"/>
      <c r="Z1433" s="354"/>
      <c r="AA1433" s="354"/>
      <c r="AB1433" s="354"/>
      <c r="AC1433" s="354"/>
      <c r="AD1433" s="354"/>
      <c r="AE1433" s="354"/>
      <c r="AF1433" s="354"/>
      <c r="AG1433" s="354"/>
      <c r="AH1433" s="354"/>
      <c r="AI1433" s="354"/>
      <c r="AJ1433" s="354"/>
      <c r="AK1433" s="354"/>
      <c r="AL1433" s="354"/>
      <c r="AM1433" s="354"/>
      <c r="AN1433" s="354"/>
      <c r="AO1433" s="354"/>
      <c r="AP1433" s="354"/>
      <c r="AQ1433" s="354"/>
      <c r="AR1433" s="354"/>
      <c r="AS1433" s="354"/>
      <c r="AT1433" s="354"/>
      <c r="AU1433" s="354"/>
      <c r="AV1433" s="354"/>
      <c r="AW1433" s="354"/>
    </row>
    <row r="1434" spans="1:49">
      <c r="A1434" s="354"/>
      <c r="B1434" s="354"/>
      <c r="C1434" s="354"/>
      <c r="D1434" s="354"/>
      <c r="E1434" s="354"/>
      <c r="F1434" s="354"/>
      <c r="G1434" s="354"/>
      <c r="H1434" s="354"/>
      <c r="I1434" s="354"/>
      <c r="J1434" s="354"/>
      <c r="K1434" s="354"/>
      <c r="L1434" s="354"/>
      <c r="M1434" s="354"/>
      <c r="N1434" s="354"/>
      <c r="O1434" s="354"/>
      <c r="P1434" s="354"/>
      <c r="Q1434" s="354"/>
      <c r="R1434" s="354"/>
      <c r="S1434" s="354"/>
      <c r="T1434" s="354"/>
      <c r="U1434" s="354"/>
      <c r="V1434" s="354"/>
      <c r="W1434" s="354"/>
      <c r="X1434" s="354"/>
      <c r="Y1434" s="354"/>
      <c r="Z1434" s="354"/>
      <c r="AA1434" s="354"/>
      <c r="AB1434" s="354"/>
      <c r="AC1434" s="354"/>
      <c r="AD1434" s="354"/>
      <c r="AE1434" s="354"/>
      <c r="AF1434" s="354"/>
      <c r="AG1434" s="354"/>
      <c r="AH1434" s="354"/>
      <c r="AI1434" s="354"/>
      <c r="AJ1434" s="354"/>
      <c r="AK1434" s="354"/>
      <c r="AL1434" s="354"/>
      <c r="AM1434" s="354"/>
      <c r="AN1434" s="354"/>
      <c r="AO1434" s="354"/>
      <c r="AP1434" s="354"/>
      <c r="AQ1434" s="354"/>
      <c r="AR1434" s="354"/>
      <c r="AS1434" s="354"/>
      <c r="AT1434" s="354"/>
      <c r="AU1434" s="354"/>
      <c r="AV1434" s="354"/>
      <c r="AW1434" s="354"/>
    </row>
    <row r="1435" spans="1:49">
      <c r="A1435" s="354"/>
      <c r="B1435" s="354"/>
      <c r="C1435" s="354"/>
      <c r="D1435" s="354"/>
      <c r="E1435" s="354"/>
      <c r="F1435" s="354"/>
      <c r="G1435" s="354"/>
      <c r="H1435" s="354"/>
      <c r="I1435" s="354"/>
      <c r="J1435" s="354"/>
      <c r="K1435" s="354"/>
      <c r="L1435" s="354"/>
      <c r="M1435" s="354"/>
      <c r="N1435" s="354"/>
      <c r="O1435" s="354"/>
      <c r="P1435" s="354"/>
      <c r="Q1435" s="354"/>
      <c r="R1435" s="354"/>
      <c r="S1435" s="354"/>
      <c r="T1435" s="354"/>
      <c r="U1435" s="354"/>
      <c r="V1435" s="354"/>
      <c r="W1435" s="354"/>
      <c r="X1435" s="354"/>
      <c r="Y1435" s="354"/>
      <c r="Z1435" s="354"/>
      <c r="AA1435" s="354"/>
      <c r="AB1435" s="354"/>
      <c r="AC1435" s="354"/>
      <c r="AD1435" s="354"/>
      <c r="AE1435" s="354"/>
      <c r="AF1435" s="354"/>
      <c r="AG1435" s="354"/>
      <c r="AH1435" s="354"/>
      <c r="AI1435" s="354"/>
      <c r="AJ1435" s="354"/>
      <c r="AK1435" s="354"/>
      <c r="AL1435" s="354"/>
      <c r="AM1435" s="354"/>
      <c r="AN1435" s="354"/>
      <c r="AO1435" s="354"/>
      <c r="AP1435" s="354"/>
      <c r="AQ1435" s="354"/>
      <c r="AR1435" s="354"/>
      <c r="AS1435" s="354"/>
      <c r="AT1435" s="354"/>
      <c r="AU1435" s="354"/>
      <c r="AV1435" s="354"/>
      <c r="AW1435" s="354"/>
    </row>
    <row r="1436" spans="1:49">
      <c r="A1436" s="354"/>
      <c r="B1436" s="354"/>
      <c r="C1436" s="354"/>
      <c r="D1436" s="354"/>
      <c r="E1436" s="354"/>
      <c r="F1436" s="354"/>
      <c r="G1436" s="354"/>
      <c r="H1436" s="354"/>
      <c r="I1436" s="354"/>
      <c r="J1436" s="354"/>
      <c r="K1436" s="354"/>
      <c r="L1436" s="354"/>
      <c r="M1436" s="354"/>
      <c r="N1436" s="354"/>
      <c r="O1436" s="354"/>
      <c r="P1436" s="354"/>
      <c r="Q1436" s="354"/>
      <c r="R1436" s="354"/>
      <c r="S1436" s="354"/>
      <c r="T1436" s="354"/>
      <c r="U1436" s="354"/>
      <c r="V1436" s="354"/>
      <c r="W1436" s="354"/>
      <c r="X1436" s="354"/>
      <c r="Y1436" s="354"/>
      <c r="Z1436" s="354"/>
      <c r="AA1436" s="354"/>
      <c r="AB1436" s="354"/>
      <c r="AC1436" s="354"/>
      <c r="AD1436" s="354"/>
      <c r="AE1436" s="354"/>
      <c r="AF1436" s="354"/>
      <c r="AG1436" s="354"/>
      <c r="AH1436" s="354"/>
      <c r="AI1436" s="354"/>
      <c r="AJ1436" s="354"/>
      <c r="AK1436" s="354"/>
      <c r="AL1436" s="354"/>
      <c r="AM1436" s="354"/>
      <c r="AN1436" s="354"/>
      <c r="AO1436" s="354"/>
      <c r="AP1436" s="354"/>
      <c r="AQ1436" s="354"/>
      <c r="AR1436" s="354"/>
      <c r="AS1436" s="354"/>
      <c r="AT1436" s="354"/>
      <c r="AU1436" s="354"/>
      <c r="AV1436" s="354"/>
      <c r="AW1436" s="354"/>
    </row>
    <row r="1437" spans="1:49">
      <c r="A1437" s="354"/>
      <c r="B1437" s="354"/>
      <c r="C1437" s="354"/>
      <c r="D1437" s="354"/>
      <c r="E1437" s="354"/>
      <c r="F1437" s="354"/>
      <c r="G1437" s="354"/>
      <c r="H1437" s="354"/>
      <c r="I1437" s="354"/>
      <c r="J1437" s="354"/>
      <c r="K1437" s="354"/>
      <c r="L1437" s="354"/>
      <c r="M1437" s="354"/>
      <c r="N1437" s="354"/>
      <c r="O1437" s="354"/>
      <c r="P1437" s="354"/>
      <c r="Q1437" s="354"/>
      <c r="R1437" s="354"/>
      <c r="S1437" s="354"/>
      <c r="T1437" s="354"/>
      <c r="U1437" s="354"/>
      <c r="V1437" s="354"/>
      <c r="W1437" s="354"/>
      <c r="X1437" s="354"/>
      <c r="Y1437" s="354"/>
      <c r="Z1437" s="354"/>
      <c r="AA1437" s="354"/>
      <c r="AB1437" s="354"/>
      <c r="AC1437" s="354"/>
      <c r="AD1437" s="354"/>
      <c r="AE1437" s="354"/>
      <c r="AF1437" s="354"/>
      <c r="AG1437" s="354"/>
      <c r="AH1437" s="354"/>
      <c r="AI1437" s="354"/>
      <c r="AJ1437" s="354"/>
      <c r="AK1437" s="354"/>
      <c r="AL1437" s="354"/>
      <c r="AM1437" s="354"/>
      <c r="AN1437" s="354"/>
      <c r="AO1437" s="354"/>
      <c r="AP1437" s="354"/>
      <c r="AQ1437" s="354"/>
      <c r="AR1437" s="354"/>
      <c r="AS1437" s="354"/>
      <c r="AT1437" s="354"/>
      <c r="AU1437" s="354"/>
      <c r="AV1437" s="354"/>
      <c r="AW1437" s="354"/>
    </row>
    <row r="1438" spans="1:49">
      <c r="A1438" s="354"/>
      <c r="B1438" s="354"/>
      <c r="C1438" s="354"/>
      <c r="D1438" s="354"/>
      <c r="E1438" s="354"/>
      <c r="F1438" s="354"/>
      <c r="G1438" s="354"/>
      <c r="H1438" s="354"/>
      <c r="I1438" s="354"/>
      <c r="J1438" s="354"/>
      <c r="K1438" s="354"/>
      <c r="L1438" s="354"/>
      <c r="M1438" s="354"/>
      <c r="N1438" s="354"/>
      <c r="O1438" s="354"/>
      <c r="P1438" s="354"/>
      <c r="Q1438" s="354"/>
      <c r="R1438" s="354"/>
      <c r="S1438" s="354"/>
      <c r="T1438" s="354"/>
      <c r="U1438" s="354"/>
      <c r="V1438" s="354"/>
      <c r="W1438" s="354"/>
      <c r="X1438" s="354"/>
      <c r="Y1438" s="354"/>
      <c r="Z1438" s="354"/>
      <c r="AA1438" s="354"/>
      <c r="AB1438" s="354"/>
      <c r="AC1438" s="354"/>
      <c r="AD1438" s="354"/>
      <c r="AE1438" s="354"/>
      <c r="AF1438" s="354"/>
      <c r="AG1438" s="354"/>
      <c r="AH1438" s="354"/>
      <c r="AI1438" s="354"/>
      <c r="AJ1438" s="354"/>
      <c r="AK1438" s="354"/>
      <c r="AL1438" s="354"/>
      <c r="AM1438" s="354"/>
      <c r="AN1438" s="354"/>
      <c r="AO1438" s="354"/>
      <c r="AP1438" s="354"/>
      <c r="AQ1438" s="354"/>
      <c r="AR1438" s="354"/>
      <c r="AS1438" s="354"/>
      <c r="AT1438" s="354"/>
      <c r="AU1438" s="354"/>
      <c r="AV1438" s="354"/>
      <c r="AW1438" s="354"/>
    </row>
    <row r="1439" spans="1:49">
      <c r="A1439" s="354"/>
      <c r="B1439" s="354"/>
      <c r="C1439" s="354"/>
      <c r="D1439" s="354"/>
      <c r="E1439" s="354"/>
      <c r="F1439" s="354"/>
      <c r="G1439" s="354"/>
      <c r="H1439" s="354"/>
      <c r="I1439" s="354"/>
      <c r="J1439" s="354"/>
      <c r="K1439" s="354"/>
      <c r="L1439" s="354"/>
      <c r="M1439" s="354"/>
      <c r="N1439" s="354"/>
      <c r="O1439" s="354"/>
      <c r="P1439" s="354"/>
      <c r="Q1439" s="354"/>
      <c r="R1439" s="354"/>
      <c r="S1439" s="354"/>
      <c r="T1439" s="354"/>
      <c r="U1439" s="354"/>
      <c r="V1439" s="354"/>
      <c r="W1439" s="354"/>
      <c r="X1439" s="354"/>
      <c r="Y1439" s="354"/>
      <c r="Z1439" s="354"/>
      <c r="AA1439" s="354"/>
      <c r="AB1439" s="354"/>
      <c r="AC1439" s="354"/>
      <c r="AD1439" s="354"/>
      <c r="AE1439" s="354"/>
      <c r="AF1439" s="354"/>
      <c r="AG1439" s="354"/>
      <c r="AH1439" s="354"/>
      <c r="AI1439" s="354"/>
      <c r="AJ1439" s="354"/>
      <c r="AK1439" s="354"/>
      <c r="AL1439" s="354"/>
      <c r="AM1439" s="354"/>
      <c r="AN1439" s="354"/>
      <c r="AO1439" s="354"/>
      <c r="AP1439" s="354"/>
      <c r="AQ1439" s="354"/>
      <c r="AR1439" s="354"/>
      <c r="AS1439" s="354"/>
      <c r="AT1439" s="354"/>
      <c r="AU1439" s="354"/>
      <c r="AV1439" s="354"/>
      <c r="AW1439" s="354"/>
    </row>
    <row r="1440" spans="1:49">
      <c r="A1440" s="354"/>
      <c r="B1440" s="354"/>
      <c r="C1440" s="354"/>
      <c r="D1440" s="354"/>
      <c r="E1440" s="354"/>
      <c r="F1440" s="354"/>
      <c r="G1440" s="354"/>
      <c r="H1440" s="354"/>
      <c r="I1440" s="354"/>
      <c r="J1440" s="354"/>
      <c r="K1440" s="354"/>
      <c r="L1440" s="354"/>
      <c r="M1440" s="354"/>
      <c r="N1440" s="354"/>
      <c r="O1440" s="354"/>
      <c r="P1440" s="354"/>
      <c r="Q1440" s="354"/>
      <c r="R1440" s="354"/>
      <c r="S1440" s="354"/>
      <c r="T1440" s="354"/>
      <c r="U1440" s="354"/>
      <c r="V1440" s="354"/>
      <c r="W1440" s="354"/>
      <c r="X1440" s="354"/>
      <c r="Y1440" s="354"/>
      <c r="Z1440" s="354"/>
      <c r="AA1440" s="354"/>
      <c r="AB1440" s="354"/>
      <c r="AC1440" s="354"/>
      <c r="AD1440" s="354"/>
      <c r="AE1440" s="354"/>
      <c r="AF1440" s="354"/>
      <c r="AG1440" s="354"/>
      <c r="AH1440" s="354"/>
      <c r="AI1440" s="354"/>
      <c r="AJ1440" s="354"/>
      <c r="AK1440" s="354"/>
      <c r="AL1440" s="354"/>
      <c r="AM1440" s="354"/>
      <c r="AN1440" s="354"/>
      <c r="AO1440" s="354"/>
      <c r="AP1440" s="354"/>
      <c r="AQ1440" s="354"/>
      <c r="AR1440" s="354"/>
      <c r="AS1440" s="354"/>
      <c r="AT1440" s="354"/>
      <c r="AU1440" s="354"/>
      <c r="AV1440" s="354"/>
      <c r="AW1440" s="354"/>
    </row>
    <row r="1441" spans="1:49">
      <c r="A1441" s="354"/>
      <c r="B1441" s="354"/>
      <c r="C1441" s="354"/>
      <c r="D1441" s="354"/>
      <c r="E1441" s="354"/>
      <c r="F1441" s="354"/>
      <c r="G1441" s="354"/>
      <c r="H1441" s="354"/>
      <c r="I1441" s="354"/>
      <c r="J1441" s="354"/>
      <c r="K1441" s="354"/>
      <c r="L1441" s="354"/>
      <c r="M1441" s="354"/>
      <c r="N1441" s="354"/>
      <c r="O1441" s="354"/>
      <c r="P1441" s="354"/>
      <c r="Q1441" s="354"/>
      <c r="R1441" s="354"/>
      <c r="S1441" s="354"/>
      <c r="T1441" s="354"/>
      <c r="U1441" s="354"/>
      <c r="V1441" s="354"/>
      <c r="W1441" s="354"/>
      <c r="X1441" s="354"/>
      <c r="Y1441" s="354"/>
      <c r="Z1441" s="354"/>
      <c r="AA1441" s="354"/>
      <c r="AB1441" s="354"/>
      <c r="AC1441" s="354"/>
      <c r="AD1441" s="354"/>
      <c r="AE1441" s="354"/>
      <c r="AF1441" s="354"/>
      <c r="AG1441" s="354"/>
      <c r="AH1441" s="354"/>
      <c r="AI1441" s="354"/>
      <c r="AJ1441" s="354"/>
      <c r="AK1441" s="354"/>
      <c r="AL1441" s="354"/>
      <c r="AM1441" s="354"/>
      <c r="AN1441" s="354"/>
      <c r="AO1441" s="354"/>
      <c r="AP1441" s="354"/>
      <c r="AQ1441" s="354"/>
      <c r="AR1441" s="354"/>
      <c r="AS1441" s="354"/>
      <c r="AT1441" s="354"/>
      <c r="AU1441" s="354"/>
      <c r="AV1441" s="354"/>
      <c r="AW1441" s="354"/>
    </row>
    <row r="1442" spans="1:49">
      <c r="A1442" s="354"/>
      <c r="B1442" s="354"/>
      <c r="C1442" s="354"/>
      <c r="D1442" s="354"/>
      <c r="E1442" s="354"/>
      <c r="F1442" s="354"/>
      <c r="G1442" s="354"/>
      <c r="H1442" s="354"/>
      <c r="I1442" s="354"/>
      <c r="J1442" s="354"/>
      <c r="K1442" s="354"/>
      <c r="L1442" s="354"/>
      <c r="M1442" s="354"/>
      <c r="N1442" s="354"/>
      <c r="O1442" s="354"/>
      <c r="P1442" s="354"/>
      <c r="Q1442" s="354"/>
      <c r="R1442" s="354"/>
      <c r="S1442" s="354"/>
      <c r="T1442" s="354"/>
      <c r="U1442" s="354"/>
      <c r="V1442" s="354"/>
      <c r="W1442" s="354"/>
      <c r="X1442" s="354"/>
      <c r="Y1442" s="354"/>
      <c r="Z1442" s="354"/>
      <c r="AA1442" s="354"/>
      <c r="AB1442" s="354"/>
      <c r="AC1442" s="354"/>
      <c r="AD1442" s="354"/>
      <c r="AE1442" s="354"/>
      <c r="AF1442" s="354"/>
      <c r="AG1442" s="354"/>
      <c r="AH1442" s="354"/>
      <c r="AI1442" s="354"/>
      <c r="AJ1442" s="354"/>
      <c r="AK1442" s="354"/>
      <c r="AL1442" s="354"/>
      <c r="AM1442" s="354"/>
      <c r="AN1442" s="354"/>
      <c r="AO1442" s="354"/>
      <c r="AP1442" s="354"/>
      <c r="AQ1442" s="354"/>
      <c r="AR1442" s="354"/>
      <c r="AS1442" s="354"/>
      <c r="AT1442" s="354"/>
      <c r="AU1442" s="354"/>
      <c r="AV1442" s="354"/>
      <c r="AW1442" s="354"/>
    </row>
    <row r="1443" spans="1:49">
      <c r="A1443" s="354"/>
      <c r="B1443" s="354"/>
      <c r="C1443" s="354"/>
      <c r="D1443" s="354"/>
      <c r="E1443" s="354"/>
      <c r="F1443" s="354"/>
      <c r="G1443" s="354"/>
      <c r="H1443" s="354"/>
      <c r="I1443" s="354"/>
      <c r="J1443" s="354"/>
      <c r="K1443" s="354"/>
      <c r="L1443" s="354"/>
      <c r="M1443" s="354"/>
      <c r="N1443" s="354"/>
      <c r="O1443" s="354"/>
      <c r="P1443" s="354"/>
      <c r="Q1443" s="354"/>
      <c r="R1443" s="354"/>
      <c r="S1443" s="354"/>
      <c r="T1443" s="354"/>
      <c r="U1443" s="354"/>
      <c r="V1443" s="354"/>
      <c r="W1443" s="354"/>
      <c r="X1443" s="354"/>
      <c r="Y1443" s="354"/>
      <c r="Z1443" s="354"/>
      <c r="AA1443" s="354"/>
      <c r="AB1443" s="354"/>
      <c r="AC1443" s="354"/>
      <c r="AD1443" s="354"/>
      <c r="AE1443" s="354"/>
      <c r="AF1443" s="354"/>
      <c r="AG1443" s="354"/>
      <c r="AH1443" s="354"/>
      <c r="AI1443" s="354"/>
      <c r="AJ1443" s="354"/>
      <c r="AK1443" s="354"/>
      <c r="AL1443" s="354"/>
      <c r="AM1443" s="354"/>
      <c r="AN1443" s="354"/>
      <c r="AO1443" s="354"/>
      <c r="AP1443" s="354"/>
      <c r="AQ1443" s="354"/>
      <c r="AR1443" s="354"/>
      <c r="AS1443" s="354"/>
      <c r="AT1443" s="354"/>
      <c r="AU1443" s="354"/>
      <c r="AV1443" s="354"/>
      <c r="AW1443" s="354"/>
    </row>
    <row r="1444" spans="1:49">
      <c r="A1444" s="354"/>
      <c r="B1444" s="354"/>
      <c r="C1444" s="354"/>
      <c r="D1444" s="354"/>
      <c r="E1444" s="354"/>
      <c r="F1444" s="354"/>
      <c r="G1444" s="354"/>
      <c r="H1444" s="354"/>
      <c r="I1444" s="354"/>
      <c r="J1444" s="354"/>
      <c r="K1444" s="354"/>
      <c r="L1444" s="354"/>
      <c r="M1444" s="354"/>
      <c r="N1444" s="354"/>
      <c r="O1444" s="354"/>
      <c r="P1444" s="354"/>
      <c r="Q1444" s="354"/>
      <c r="R1444" s="354"/>
      <c r="S1444" s="354"/>
      <c r="T1444" s="354"/>
      <c r="U1444" s="354"/>
      <c r="V1444" s="354"/>
      <c r="W1444" s="354"/>
      <c r="X1444" s="354"/>
      <c r="Y1444" s="354"/>
      <c r="Z1444" s="354"/>
      <c r="AA1444" s="354"/>
      <c r="AB1444" s="354"/>
      <c r="AC1444" s="354"/>
      <c r="AD1444" s="354"/>
      <c r="AE1444" s="354"/>
      <c r="AF1444" s="354"/>
      <c r="AG1444" s="354"/>
      <c r="AH1444" s="354"/>
      <c r="AI1444" s="354"/>
      <c r="AJ1444" s="354"/>
      <c r="AK1444" s="354"/>
      <c r="AL1444" s="354"/>
      <c r="AM1444" s="354"/>
      <c r="AN1444" s="354"/>
      <c r="AO1444" s="354"/>
      <c r="AP1444" s="354"/>
      <c r="AQ1444" s="354"/>
      <c r="AR1444" s="354"/>
      <c r="AS1444" s="354"/>
      <c r="AT1444" s="354"/>
      <c r="AU1444" s="354"/>
      <c r="AV1444" s="354"/>
      <c r="AW1444" s="354"/>
    </row>
    <row r="1445" spans="1:49">
      <c r="A1445" s="354"/>
      <c r="B1445" s="354"/>
      <c r="C1445" s="354"/>
      <c r="D1445" s="354"/>
      <c r="E1445" s="354"/>
      <c r="F1445" s="354"/>
      <c r="G1445" s="354"/>
      <c r="H1445" s="354"/>
      <c r="I1445" s="354"/>
      <c r="J1445" s="354"/>
      <c r="K1445" s="354"/>
      <c r="L1445" s="354"/>
      <c r="M1445" s="354"/>
      <c r="N1445" s="354"/>
      <c r="O1445" s="354"/>
      <c r="P1445" s="354"/>
      <c r="Q1445" s="354"/>
      <c r="R1445" s="354"/>
      <c r="S1445" s="354"/>
      <c r="T1445" s="354"/>
      <c r="U1445" s="354"/>
      <c r="V1445" s="354"/>
      <c r="W1445" s="354"/>
      <c r="X1445" s="354"/>
      <c r="Y1445" s="354"/>
      <c r="Z1445" s="354"/>
      <c r="AA1445" s="354"/>
      <c r="AB1445" s="354"/>
      <c r="AC1445" s="354"/>
      <c r="AD1445" s="354"/>
      <c r="AE1445" s="354"/>
      <c r="AF1445" s="354"/>
      <c r="AG1445" s="354"/>
      <c r="AH1445" s="354"/>
      <c r="AI1445" s="354"/>
      <c r="AJ1445" s="354"/>
      <c r="AK1445" s="354"/>
      <c r="AL1445" s="354"/>
      <c r="AM1445" s="354"/>
      <c r="AN1445" s="354"/>
      <c r="AO1445" s="354"/>
      <c r="AP1445" s="354"/>
      <c r="AQ1445" s="354"/>
      <c r="AR1445" s="354"/>
      <c r="AS1445" s="354"/>
      <c r="AT1445" s="354"/>
      <c r="AU1445" s="354"/>
      <c r="AV1445" s="354"/>
      <c r="AW1445" s="354"/>
    </row>
    <row r="1446" spans="1:49">
      <c r="A1446" s="354"/>
      <c r="B1446" s="354"/>
      <c r="C1446" s="354"/>
      <c r="D1446" s="354"/>
      <c r="E1446" s="354"/>
      <c r="F1446" s="354"/>
      <c r="G1446" s="354"/>
      <c r="H1446" s="354"/>
      <c r="I1446" s="354"/>
      <c r="J1446" s="354"/>
      <c r="K1446" s="354"/>
      <c r="L1446" s="354"/>
      <c r="M1446" s="354"/>
      <c r="N1446" s="354"/>
      <c r="O1446" s="354"/>
      <c r="P1446" s="354"/>
      <c r="Q1446" s="354"/>
      <c r="R1446" s="354"/>
      <c r="S1446" s="354"/>
      <c r="T1446" s="354"/>
      <c r="U1446" s="354"/>
      <c r="V1446" s="354"/>
      <c r="W1446" s="354"/>
      <c r="X1446" s="354"/>
      <c r="Y1446" s="354"/>
      <c r="Z1446" s="354"/>
      <c r="AA1446" s="354"/>
      <c r="AB1446" s="354"/>
      <c r="AC1446" s="354"/>
      <c r="AD1446" s="354"/>
      <c r="AE1446" s="354"/>
      <c r="AF1446" s="354"/>
      <c r="AG1446" s="354"/>
      <c r="AH1446" s="354"/>
      <c r="AI1446" s="354"/>
      <c r="AJ1446" s="354"/>
      <c r="AK1446" s="354"/>
      <c r="AL1446" s="354"/>
      <c r="AM1446" s="354"/>
      <c r="AN1446" s="354"/>
      <c r="AO1446" s="354"/>
      <c r="AP1446" s="354"/>
      <c r="AQ1446" s="354"/>
      <c r="AR1446" s="354"/>
      <c r="AS1446" s="354"/>
      <c r="AT1446" s="354"/>
      <c r="AU1446" s="354"/>
      <c r="AV1446" s="354"/>
      <c r="AW1446" s="354"/>
    </row>
    <row r="1447" spans="1:49">
      <c r="A1447" s="354"/>
      <c r="B1447" s="354"/>
      <c r="C1447" s="354"/>
      <c r="D1447" s="354"/>
      <c r="E1447" s="354"/>
      <c r="F1447" s="354"/>
      <c r="G1447" s="354"/>
      <c r="H1447" s="354"/>
      <c r="I1447" s="354"/>
      <c r="J1447" s="354"/>
      <c r="K1447" s="354"/>
      <c r="L1447" s="354"/>
      <c r="M1447" s="354"/>
      <c r="N1447" s="354"/>
      <c r="O1447" s="354"/>
      <c r="P1447" s="354"/>
      <c r="Q1447" s="354"/>
      <c r="R1447" s="354"/>
      <c r="S1447" s="354"/>
      <c r="T1447" s="354"/>
      <c r="U1447" s="354"/>
      <c r="V1447" s="354"/>
      <c r="W1447" s="354"/>
      <c r="X1447" s="354"/>
      <c r="Y1447" s="354"/>
      <c r="Z1447" s="354"/>
      <c r="AA1447" s="354"/>
      <c r="AB1447" s="354"/>
      <c r="AC1447" s="354"/>
      <c r="AD1447" s="354"/>
      <c r="AE1447" s="354"/>
      <c r="AF1447" s="354"/>
      <c r="AG1447" s="354"/>
      <c r="AH1447" s="354"/>
      <c r="AI1447" s="354"/>
      <c r="AJ1447" s="354"/>
      <c r="AK1447" s="354"/>
      <c r="AL1447" s="354"/>
      <c r="AM1447" s="354"/>
      <c r="AN1447" s="354"/>
      <c r="AO1447" s="354"/>
      <c r="AP1447" s="354"/>
      <c r="AQ1447" s="354"/>
      <c r="AR1447" s="354"/>
      <c r="AS1447" s="354"/>
      <c r="AT1447" s="354"/>
      <c r="AU1447" s="354"/>
      <c r="AV1447" s="354"/>
      <c r="AW1447" s="354"/>
    </row>
    <row r="1448" spans="1:49">
      <c r="A1448" s="354"/>
      <c r="B1448" s="354"/>
      <c r="C1448" s="354"/>
      <c r="D1448" s="354"/>
      <c r="E1448" s="354"/>
      <c r="F1448" s="354"/>
      <c r="G1448" s="354"/>
      <c r="H1448" s="354"/>
      <c r="I1448" s="354"/>
      <c r="J1448" s="354"/>
      <c r="K1448" s="354"/>
      <c r="L1448" s="354"/>
      <c r="M1448" s="354"/>
      <c r="N1448" s="354"/>
      <c r="O1448" s="354"/>
      <c r="P1448" s="354"/>
      <c r="Q1448" s="354"/>
      <c r="R1448" s="354"/>
      <c r="S1448" s="354"/>
      <c r="T1448" s="354"/>
      <c r="U1448" s="354"/>
      <c r="V1448" s="354"/>
      <c r="W1448" s="354"/>
      <c r="X1448" s="354"/>
      <c r="Y1448" s="354"/>
      <c r="Z1448" s="354"/>
      <c r="AA1448" s="354"/>
      <c r="AB1448" s="354"/>
      <c r="AC1448" s="354"/>
      <c r="AD1448" s="354"/>
      <c r="AE1448" s="354"/>
      <c r="AF1448" s="354"/>
      <c r="AG1448" s="354"/>
      <c r="AH1448" s="354"/>
      <c r="AI1448" s="354"/>
      <c r="AJ1448" s="354"/>
      <c r="AK1448" s="354"/>
      <c r="AL1448" s="354"/>
      <c r="AM1448" s="354"/>
      <c r="AN1448" s="354"/>
      <c r="AO1448" s="354"/>
      <c r="AP1448" s="354"/>
      <c r="AQ1448" s="354"/>
      <c r="AR1448" s="354"/>
      <c r="AS1448" s="354"/>
      <c r="AT1448" s="354"/>
      <c r="AU1448" s="354"/>
      <c r="AV1448" s="354"/>
      <c r="AW1448" s="354"/>
    </row>
    <row r="1449" spans="1:49">
      <c r="A1449" s="354"/>
      <c r="B1449" s="354"/>
      <c r="C1449" s="354"/>
      <c r="D1449" s="354"/>
      <c r="E1449" s="354"/>
      <c r="F1449" s="354"/>
      <c r="G1449" s="354"/>
      <c r="H1449" s="354"/>
      <c r="I1449" s="354"/>
      <c r="J1449" s="354"/>
      <c r="K1449" s="354"/>
      <c r="L1449" s="354"/>
      <c r="M1449" s="354"/>
      <c r="N1449" s="354"/>
      <c r="O1449" s="354"/>
      <c r="P1449" s="354"/>
      <c r="Q1449" s="354"/>
      <c r="R1449" s="354"/>
      <c r="S1449" s="354"/>
      <c r="T1449" s="354"/>
      <c r="U1449" s="354"/>
      <c r="V1449" s="354"/>
      <c r="W1449" s="354"/>
      <c r="X1449" s="354"/>
      <c r="Y1449" s="354"/>
      <c r="Z1449" s="354"/>
      <c r="AA1449" s="354"/>
      <c r="AB1449" s="354"/>
      <c r="AC1449" s="354"/>
      <c r="AD1449" s="354"/>
      <c r="AE1449" s="354"/>
      <c r="AF1449" s="354"/>
      <c r="AG1449" s="354"/>
      <c r="AH1449" s="354"/>
      <c r="AI1449" s="354"/>
      <c r="AJ1449" s="354"/>
      <c r="AK1449" s="354"/>
      <c r="AL1449" s="354"/>
      <c r="AM1449" s="354"/>
      <c r="AN1449" s="354"/>
      <c r="AO1449" s="354"/>
      <c r="AP1449" s="354"/>
      <c r="AQ1449" s="354"/>
      <c r="AR1449" s="354"/>
      <c r="AS1449" s="354"/>
      <c r="AT1449" s="354"/>
      <c r="AU1449" s="354"/>
      <c r="AV1449" s="354"/>
      <c r="AW1449" s="354"/>
    </row>
    <row r="1450" spans="1:49">
      <c r="A1450" s="354"/>
      <c r="B1450" s="354"/>
      <c r="C1450" s="354"/>
      <c r="D1450" s="354"/>
      <c r="E1450" s="354"/>
      <c r="F1450" s="354"/>
      <c r="G1450" s="354"/>
      <c r="H1450" s="354"/>
      <c r="I1450" s="354"/>
      <c r="J1450" s="354"/>
      <c r="K1450" s="354"/>
      <c r="L1450" s="354"/>
      <c r="M1450" s="354"/>
      <c r="N1450" s="354"/>
      <c r="O1450" s="354"/>
      <c r="P1450" s="354"/>
      <c r="Q1450" s="354"/>
      <c r="R1450" s="354"/>
      <c r="S1450" s="354"/>
      <c r="T1450" s="354"/>
      <c r="U1450" s="354"/>
      <c r="V1450" s="354"/>
      <c r="W1450" s="354"/>
      <c r="X1450" s="354"/>
      <c r="Y1450" s="354"/>
      <c r="Z1450" s="354"/>
      <c r="AA1450" s="354"/>
      <c r="AB1450" s="354"/>
      <c r="AC1450" s="354"/>
      <c r="AD1450" s="354"/>
      <c r="AE1450" s="354"/>
      <c r="AF1450" s="354"/>
      <c r="AG1450" s="354"/>
      <c r="AH1450" s="354"/>
      <c r="AI1450" s="354"/>
      <c r="AJ1450" s="354"/>
      <c r="AK1450" s="354"/>
      <c r="AL1450" s="354"/>
      <c r="AM1450" s="354"/>
      <c r="AN1450" s="354"/>
      <c r="AO1450" s="354"/>
      <c r="AP1450" s="354"/>
      <c r="AQ1450" s="354"/>
      <c r="AR1450" s="354"/>
      <c r="AS1450" s="354"/>
      <c r="AT1450" s="354"/>
      <c r="AU1450" s="354"/>
      <c r="AV1450" s="354"/>
      <c r="AW1450" s="354"/>
    </row>
    <row r="1451" spans="1:49">
      <c r="A1451" s="354"/>
      <c r="B1451" s="354"/>
      <c r="C1451" s="354"/>
      <c r="D1451" s="354"/>
      <c r="E1451" s="354"/>
      <c r="F1451" s="354"/>
      <c r="G1451" s="354"/>
      <c r="H1451" s="354"/>
      <c r="I1451" s="354"/>
      <c r="J1451" s="354"/>
      <c r="K1451" s="354"/>
      <c r="L1451" s="354"/>
      <c r="M1451" s="354"/>
      <c r="N1451" s="354"/>
      <c r="O1451" s="354"/>
      <c r="P1451" s="354"/>
      <c r="Q1451" s="354"/>
      <c r="R1451" s="354"/>
      <c r="S1451" s="354"/>
      <c r="T1451" s="354"/>
      <c r="U1451" s="354"/>
      <c r="V1451" s="354"/>
      <c r="W1451" s="354"/>
      <c r="X1451" s="354"/>
      <c r="Y1451" s="354"/>
      <c r="Z1451" s="354"/>
      <c r="AA1451" s="354"/>
      <c r="AB1451" s="354"/>
      <c r="AC1451" s="354"/>
      <c r="AD1451" s="354"/>
      <c r="AE1451" s="354"/>
      <c r="AF1451" s="354"/>
      <c r="AG1451" s="354"/>
      <c r="AH1451" s="354"/>
      <c r="AI1451" s="354"/>
      <c r="AJ1451" s="354"/>
      <c r="AK1451" s="354"/>
      <c r="AL1451" s="354"/>
      <c r="AM1451" s="354"/>
      <c r="AN1451" s="354"/>
      <c r="AO1451" s="354"/>
      <c r="AP1451" s="354"/>
      <c r="AQ1451" s="354"/>
      <c r="AR1451" s="354"/>
      <c r="AS1451" s="354"/>
      <c r="AT1451" s="354"/>
      <c r="AU1451" s="354"/>
      <c r="AV1451" s="354"/>
      <c r="AW1451" s="354"/>
    </row>
    <row r="1452" spans="1:49">
      <c r="A1452" s="354"/>
      <c r="B1452" s="354"/>
      <c r="C1452" s="354"/>
      <c r="D1452" s="354"/>
      <c r="E1452" s="354"/>
      <c r="F1452" s="354"/>
      <c r="G1452" s="354"/>
      <c r="H1452" s="354"/>
      <c r="I1452" s="354"/>
      <c r="J1452" s="354"/>
      <c r="K1452" s="354"/>
      <c r="L1452" s="354"/>
      <c r="M1452" s="354"/>
      <c r="N1452" s="354"/>
      <c r="O1452" s="354"/>
      <c r="P1452" s="354"/>
      <c r="Q1452" s="354"/>
      <c r="R1452" s="354"/>
      <c r="S1452" s="354"/>
      <c r="T1452" s="354"/>
      <c r="U1452" s="354"/>
      <c r="V1452" s="354"/>
      <c r="W1452" s="354"/>
      <c r="X1452" s="354"/>
      <c r="Y1452" s="354"/>
      <c r="Z1452" s="354"/>
      <c r="AA1452" s="354"/>
      <c r="AB1452" s="354"/>
      <c r="AC1452" s="354"/>
      <c r="AD1452" s="354"/>
      <c r="AE1452" s="354"/>
      <c r="AF1452" s="354"/>
      <c r="AG1452" s="354"/>
      <c r="AH1452" s="354"/>
      <c r="AI1452" s="354"/>
      <c r="AJ1452" s="354"/>
      <c r="AK1452" s="354"/>
      <c r="AL1452" s="354"/>
      <c r="AM1452" s="354"/>
      <c r="AN1452" s="354"/>
      <c r="AO1452" s="354"/>
      <c r="AP1452" s="354"/>
      <c r="AQ1452" s="354"/>
      <c r="AR1452" s="354"/>
      <c r="AS1452" s="354"/>
      <c r="AT1452" s="354"/>
      <c r="AU1452" s="354"/>
      <c r="AV1452" s="354"/>
      <c r="AW1452" s="354"/>
    </row>
    <row r="1453" spans="1:49">
      <c r="A1453" s="354"/>
      <c r="B1453" s="354"/>
      <c r="C1453" s="354"/>
      <c r="D1453" s="354"/>
      <c r="E1453" s="354"/>
      <c r="F1453" s="354"/>
      <c r="G1453" s="354"/>
      <c r="H1453" s="354"/>
      <c r="I1453" s="354"/>
      <c r="J1453" s="354"/>
      <c r="K1453" s="354"/>
      <c r="L1453" s="354"/>
      <c r="M1453" s="354"/>
      <c r="N1453" s="354"/>
      <c r="O1453" s="354"/>
      <c r="P1453" s="354"/>
      <c r="Q1453" s="354"/>
      <c r="R1453" s="354"/>
      <c r="S1453" s="354"/>
      <c r="T1453" s="354"/>
      <c r="U1453" s="354"/>
      <c r="V1453" s="354"/>
      <c r="W1453" s="354"/>
      <c r="X1453" s="354"/>
      <c r="Y1453" s="354"/>
      <c r="Z1453" s="354"/>
      <c r="AA1453" s="354"/>
      <c r="AB1453" s="354"/>
      <c r="AC1453" s="354"/>
      <c r="AD1453" s="354"/>
      <c r="AE1453" s="354"/>
      <c r="AF1453" s="354"/>
      <c r="AG1453" s="354"/>
      <c r="AH1453" s="354"/>
      <c r="AI1453" s="354"/>
      <c r="AJ1453" s="354"/>
      <c r="AK1453" s="354"/>
      <c r="AL1453" s="354"/>
      <c r="AM1453" s="354"/>
      <c r="AN1453" s="354"/>
      <c r="AO1453" s="354"/>
      <c r="AP1453" s="354"/>
      <c r="AQ1453" s="354"/>
      <c r="AR1453" s="354"/>
      <c r="AS1453" s="354"/>
      <c r="AT1453" s="354"/>
      <c r="AU1453" s="354"/>
      <c r="AV1453" s="354"/>
      <c r="AW1453" s="354"/>
    </row>
    <row r="1454" spans="1:49">
      <c r="A1454" s="354"/>
      <c r="B1454" s="354"/>
      <c r="C1454" s="354"/>
      <c r="D1454" s="354"/>
      <c r="E1454" s="354"/>
      <c r="F1454" s="354"/>
      <c r="G1454" s="354"/>
      <c r="H1454" s="354"/>
      <c r="I1454" s="354"/>
      <c r="J1454" s="354"/>
      <c r="K1454" s="354"/>
      <c r="L1454" s="354"/>
      <c r="M1454" s="354"/>
      <c r="N1454" s="354"/>
      <c r="O1454" s="354"/>
      <c r="P1454" s="354"/>
      <c r="Q1454" s="354"/>
      <c r="R1454" s="354"/>
      <c r="S1454" s="354"/>
      <c r="T1454" s="354"/>
      <c r="U1454" s="354"/>
      <c r="V1454" s="354"/>
      <c r="W1454" s="354"/>
      <c r="X1454" s="354"/>
      <c r="Y1454" s="354"/>
      <c r="Z1454" s="354"/>
      <c r="AA1454" s="354"/>
      <c r="AB1454" s="354"/>
      <c r="AC1454" s="354"/>
      <c r="AD1454" s="354"/>
      <c r="AE1454" s="354"/>
      <c r="AF1454" s="354"/>
      <c r="AG1454" s="354"/>
      <c r="AH1454" s="354"/>
      <c r="AI1454" s="354"/>
      <c r="AJ1454" s="354"/>
      <c r="AK1454" s="354"/>
      <c r="AL1454" s="354"/>
      <c r="AM1454" s="354"/>
      <c r="AN1454" s="354"/>
      <c r="AO1454" s="354"/>
      <c r="AP1454" s="354"/>
      <c r="AQ1454" s="354"/>
      <c r="AR1454" s="354"/>
      <c r="AS1454" s="354"/>
      <c r="AT1454" s="354"/>
      <c r="AU1454" s="354"/>
      <c r="AV1454" s="354"/>
      <c r="AW1454" s="354"/>
    </row>
    <row r="1455" spans="1:49">
      <c r="A1455" s="354"/>
      <c r="B1455" s="354"/>
      <c r="C1455" s="354"/>
      <c r="D1455" s="354"/>
      <c r="E1455" s="354"/>
      <c r="F1455" s="354"/>
      <c r="G1455" s="354"/>
      <c r="H1455" s="354"/>
      <c r="I1455" s="354"/>
      <c r="J1455" s="354"/>
      <c r="K1455" s="354"/>
      <c r="L1455" s="354"/>
      <c r="M1455" s="354"/>
      <c r="N1455" s="354"/>
      <c r="O1455" s="354"/>
      <c r="P1455" s="354"/>
      <c r="Q1455" s="354"/>
      <c r="R1455" s="354"/>
      <c r="S1455" s="354"/>
      <c r="T1455" s="354"/>
      <c r="U1455" s="354"/>
      <c r="V1455" s="354"/>
      <c r="W1455" s="354"/>
      <c r="X1455" s="354"/>
      <c r="Y1455" s="354"/>
      <c r="Z1455" s="354"/>
      <c r="AA1455" s="354"/>
      <c r="AB1455" s="354"/>
      <c r="AC1455" s="354"/>
      <c r="AD1455" s="354"/>
      <c r="AE1455" s="354"/>
      <c r="AF1455" s="354"/>
      <c r="AG1455" s="354"/>
      <c r="AH1455" s="354"/>
      <c r="AI1455" s="354"/>
      <c r="AJ1455" s="354"/>
      <c r="AK1455" s="354"/>
      <c r="AL1455" s="354"/>
      <c r="AM1455" s="354"/>
      <c r="AN1455" s="354"/>
      <c r="AO1455" s="354"/>
      <c r="AP1455" s="354"/>
      <c r="AQ1455" s="354"/>
      <c r="AR1455" s="354"/>
      <c r="AS1455" s="354"/>
      <c r="AT1455" s="354"/>
      <c r="AU1455" s="354"/>
      <c r="AV1455" s="354"/>
      <c r="AW1455" s="354"/>
    </row>
    <row r="1456" spans="1:49">
      <c r="A1456" s="354"/>
      <c r="B1456" s="354"/>
      <c r="C1456" s="354"/>
      <c r="D1456" s="354"/>
      <c r="E1456" s="354"/>
      <c r="F1456" s="354"/>
      <c r="G1456" s="354"/>
      <c r="H1456" s="354"/>
      <c r="I1456" s="354"/>
      <c r="J1456" s="354"/>
      <c r="K1456" s="354"/>
      <c r="L1456" s="354"/>
      <c r="M1456" s="354"/>
      <c r="N1456" s="354"/>
      <c r="O1456" s="354"/>
      <c r="P1456" s="354"/>
      <c r="Q1456" s="354"/>
      <c r="R1456" s="354"/>
      <c r="S1456" s="354"/>
      <c r="T1456" s="354"/>
      <c r="U1456" s="354"/>
      <c r="V1456" s="354"/>
      <c r="W1456" s="354"/>
      <c r="X1456" s="354"/>
      <c r="Y1456" s="354"/>
      <c r="Z1456" s="354"/>
      <c r="AA1456" s="354"/>
      <c r="AB1456" s="354"/>
      <c r="AC1456" s="354"/>
      <c r="AD1456" s="354"/>
      <c r="AE1456" s="354"/>
      <c r="AF1456" s="354"/>
      <c r="AG1456" s="354"/>
      <c r="AH1456" s="354"/>
      <c r="AI1456" s="354"/>
      <c r="AJ1456" s="354"/>
      <c r="AK1456" s="354"/>
      <c r="AL1456" s="354"/>
      <c r="AM1456" s="354"/>
      <c r="AN1456" s="354"/>
      <c r="AO1456" s="354"/>
      <c r="AP1456" s="354"/>
      <c r="AQ1456" s="354"/>
      <c r="AR1456" s="354"/>
      <c r="AS1456" s="354"/>
      <c r="AT1456" s="354"/>
      <c r="AU1456" s="354"/>
      <c r="AV1456" s="354"/>
      <c r="AW1456" s="354"/>
    </row>
    <row r="1457" spans="1:49">
      <c r="A1457" s="354"/>
      <c r="B1457" s="354"/>
      <c r="C1457" s="354"/>
      <c r="D1457" s="354"/>
      <c r="E1457" s="354"/>
      <c r="F1457" s="354"/>
      <c r="G1457" s="354"/>
      <c r="H1457" s="354"/>
      <c r="I1457" s="354"/>
      <c r="J1457" s="354"/>
      <c r="K1457" s="354"/>
      <c r="L1457" s="354"/>
      <c r="M1457" s="354"/>
      <c r="N1457" s="354"/>
      <c r="O1457" s="354"/>
      <c r="P1457" s="354"/>
      <c r="Q1457" s="354"/>
      <c r="R1457" s="354"/>
      <c r="S1457" s="354"/>
      <c r="T1457" s="354"/>
      <c r="U1457" s="354"/>
      <c r="V1457" s="354"/>
      <c r="W1457" s="354"/>
      <c r="X1457" s="354"/>
      <c r="Y1457" s="354"/>
      <c r="Z1457" s="354"/>
      <c r="AA1457" s="354"/>
      <c r="AB1457" s="354"/>
      <c r="AC1457" s="354"/>
      <c r="AD1457" s="354"/>
      <c r="AE1457" s="354"/>
      <c r="AF1457" s="354"/>
      <c r="AG1457" s="354"/>
      <c r="AH1457" s="354"/>
      <c r="AI1457" s="354"/>
      <c r="AJ1457" s="354"/>
      <c r="AK1457" s="354"/>
      <c r="AL1457" s="354"/>
      <c r="AM1457" s="354"/>
      <c r="AN1457" s="354"/>
      <c r="AO1457" s="354"/>
      <c r="AP1457" s="354"/>
      <c r="AQ1457" s="354"/>
      <c r="AR1457" s="354"/>
      <c r="AS1457" s="354"/>
      <c r="AT1457" s="354"/>
      <c r="AU1457" s="354"/>
      <c r="AV1457" s="354"/>
      <c r="AW1457" s="354"/>
    </row>
    <row r="1458" spans="1:49">
      <c r="A1458" s="354"/>
      <c r="B1458" s="354"/>
      <c r="C1458" s="354"/>
      <c r="D1458" s="354"/>
      <c r="E1458" s="354"/>
      <c r="F1458" s="354"/>
      <c r="G1458" s="354"/>
      <c r="H1458" s="354"/>
      <c r="I1458" s="354"/>
      <c r="J1458" s="354"/>
      <c r="K1458" s="354"/>
      <c r="L1458" s="354"/>
      <c r="M1458" s="354"/>
      <c r="N1458" s="354"/>
      <c r="O1458" s="354"/>
      <c r="P1458" s="354"/>
      <c r="Q1458" s="354"/>
      <c r="R1458" s="354"/>
      <c r="S1458" s="354"/>
      <c r="T1458" s="354"/>
      <c r="U1458" s="354"/>
      <c r="V1458" s="354"/>
      <c r="W1458" s="354"/>
      <c r="X1458" s="354"/>
      <c r="Y1458" s="354"/>
      <c r="Z1458" s="354"/>
      <c r="AA1458" s="354"/>
      <c r="AB1458" s="354"/>
      <c r="AC1458" s="354"/>
      <c r="AD1458" s="354"/>
      <c r="AE1458" s="354"/>
      <c r="AF1458" s="354"/>
      <c r="AG1458" s="354"/>
      <c r="AH1458" s="354"/>
      <c r="AI1458" s="354"/>
      <c r="AJ1458" s="354"/>
      <c r="AK1458" s="354"/>
      <c r="AL1458" s="354"/>
      <c r="AM1458" s="354"/>
      <c r="AN1458" s="354"/>
      <c r="AO1458" s="354"/>
      <c r="AP1458" s="354"/>
      <c r="AQ1458" s="354"/>
      <c r="AR1458" s="354"/>
      <c r="AS1458" s="354"/>
      <c r="AT1458" s="354"/>
      <c r="AU1458" s="354"/>
      <c r="AV1458" s="354"/>
      <c r="AW1458" s="354"/>
    </row>
    <row r="1459" spans="1:49">
      <c r="A1459" s="354"/>
      <c r="B1459" s="354"/>
      <c r="C1459" s="354"/>
      <c r="D1459" s="354"/>
      <c r="E1459" s="354"/>
      <c r="F1459" s="354"/>
      <c r="G1459" s="354"/>
      <c r="H1459" s="354"/>
      <c r="I1459" s="354"/>
      <c r="J1459" s="354"/>
      <c r="K1459" s="354"/>
      <c r="L1459" s="354"/>
      <c r="M1459" s="354"/>
      <c r="N1459" s="354"/>
      <c r="O1459" s="354"/>
      <c r="P1459" s="354"/>
      <c r="Q1459" s="354"/>
      <c r="R1459" s="354"/>
      <c r="S1459" s="354"/>
      <c r="T1459" s="354"/>
      <c r="U1459" s="354"/>
      <c r="V1459" s="354"/>
      <c r="W1459" s="354"/>
      <c r="X1459" s="354"/>
      <c r="Y1459" s="354"/>
      <c r="Z1459" s="354"/>
      <c r="AA1459" s="354"/>
      <c r="AB1459" s="354"/>
      <c r="AC1459" s="354"/>
      <c r="AD1459" s="354"/>
      <c r="AE1459" s="354"/>
      <c r="AF1459" s="354"/>
      <c r="AG1459" s="354"/>
      <c r="AH1459" s="354"/>
      <c r="AI1459" s="354"/>
      <c r="AJ1459" s="354"/>
      <c r="AK1459" s="354"/>
      <c r="AL1459" s="354"/>
      <c r="AM1459" s="354"/>
      <c r="AN1459" s="354"/>
      <c r="AO1459" s="354"/>
      <c r="AP1459" s="354"/>
      <c r="AQ1459" s="354"/>
      <c r="AR1459" s="354"/>
      <c r="AS1459" s="354"/>
      <c r="AT1459" s="354"/>
      <c r="AU1459" s="354"/>
      <c r="AV1459" s="354"/>
      <c r="AW1459" s="354"/>
    </row>
    <row r="1460" spans="1:49">
      <c r="A1460" s="354"/>
      <c r="B1460" s="354"/>
      <c r="C1460" s="354"/>
      <c r="D1460" s="354"/>
      <c r="E1460" s="354"/>
      <c r="F1460" s="354"/>
      <c r="G1460" s="354"/>
      <c r="H1460" s="354"/>
      <c r="I1460" s="354"/>
      <c r="J1460" s="354"/>
      <c r="K1460" s="354"/>
      <c r="L1460" s="354"/>
      <c r="M1460" s="354"/>
      <c r="N1460" s="354"/>
      <c r="O1460" s="354"/>
      <c r="P1460" s="354"/>
      <c r="Q1460" s="354"/>
      <c r="R1460" s="354"/>
      <c r="S1460" s="354"/>
      <c r="T1460" s="354"/>
      <c r="U1460" s="354"/>
      <c r="V1460" s="354"/>
      <c r="W1460" s="354"/>
      <c r="X1460" s="354"/>
      <c r="Y1460" s="354"/>
      <c r="Z1460" s="354"/>
      <c r="AA1460" s="354"/>
      <c r="AB1460" s="354"/>
      <c r="AC1460" s="354"/>
      <c r="AD1460" s="354"/>
      <c r="AE1460" s="354"/>
      <c r="AF1460" s="354"/>
      <c r="AG1460" s="354"/>
      <c r="AH1460" s="354"/>
      <c r="AI1460" s="354"/>
      <c r="AJ1460" s="354"/>
      <c r="AK1460" s="354"/>
      <c r="AL1460" s="354"/>
      <c r="AM1460" s="354"/>
      <c r="AN1460" s="354"/>
      <c r="AO1460" s="354"/>
      <c r="AP1460" s="354"/>
      <c r="AQ1460" s="354"/>
      <c r="AR1460" s="354"/>
      <c r="AS1460" s="354"/>
      <c r="AT1460" s="354"/>
      <c r="AU1460" s="354"/>
      <c r="AV1460" s="354"/>
      <c r="AW1460" s="354"/>
    </row>
    <row r="1461" spans="1:49">
      <c r="A1461" s="354"/>
      <c r="B1461" s="354"/>
      <c r="C1461" s="354"/>
      <c r="D1461" s="354"/>
      <c r="E1461" s="354"/>
      <c r="F1461" s="354"/>
      <c r="G1461" s="354"/>
      <c r="H1461" s="354"/>
      <c r="I1461" s="354"/>
      <c r="J1461" s="354"/>
      <c r="K1461" s="354"/>
      <c r="L1461" s="354"/>
      <c r="M1461" s="354"/>
      <c r="N1461" s="354"/>
      <c r="O1461" s="354"/>
      <c r="P1461" s="354"/>
      <c r="Q1461" s="354"/>
      <c r="R1461" s="354"/>
      <c r="S1461" s="354"/>
      <c r="T1461" s="354"/>
      <c r="U1461" s="354"/>
      <c r="V1461" s="354"/>
      <c r="W1461" s="354"/>
      <c r="X1461" s="354"/>
      <c r="Y1461" s="354"/>
      <c r="Z1461" s="354"/>
      <c r="AA1461" s="354"/>
      <c r="AB1461" s="354"/>
      <c r="AC1461" s="354"/>
      <c r="AD1461" s="354"/>
      <c r="AE1461" s="354"/>
      <c r="AF1461" s="354"/>
      <c r="AG1461" s="354"/>
      <c r="AH1461" s="354"/>
      <c r="AI1461" s="354"/>
      <c r="AJ1461" s="354"/>
      <c r="AK1461" s="354"/>
      <c r="AL1461" s="354"/>
      <c r="AM1461" s="354"/>
      <c r="AN1461" s="354"/>
      <c r="AO1461" s="354"/>
      <c r="AP1461" s="354"/>
      <c r="AQ1461" s="354"/>
      <c r="AR1461" s="354"/>
      <c r="AS1461" s="354"/>
      <c r="AT1461" s="354"/>
      <c r="AU1461" s="354"/>
      <c r="AV1461" s="354"/>
      <c r="AW1461" s="354"/>
    </row>
    <row r="1462" spans="1:49">
      <c r="A1462" s="354"/>
      <c r="B1462" s="354"/>
      <c r="C1462" s="354"/>
      <c r="D1462" s="354"/>
      <c r="E1462" s="354"/>
      <c r="F1462" s="354"/>
      <c r="G1462" s="354"/>
      <c r="H1462" s="354"/>
      <c r="I1462" s="354"/>
      <c r="J1462" s="354"/>
      <c r="K1462" s="354"/>
      <c r="L1462" s="354"/>
      <c r="M1462" s="354"/>
      <c r="N1462" s="354"/>
      <c r="O1462" s="354"/>
      <c r="P1462" s="354"/>
      <c r="Q1462" s="354"/>
      <c r="R1462" s="354"/>
      <c r="S1462" s="354"/>
      <c r="T1462" s="354"/>
      <c r="U1462" s="354"/>
      <c r="V1462" s="354"/>
      <c r="W1462" s="354"/>
      <c r="X1462" s="354"/>
      <c r="Y1462" s="354"/>
      <c r="Z1462" s="354"/>
      <c r="AA1462" s="354"/>
      <c r="AB1462" s="354"/>
      <c r="AC1462" s="354"/>
      <c r="AD1462" s="354"/>
      <c r="AE1462" s="354"/>
      <c r="AF1462" s="354"/>
      <c r="AG1462" s="354"/>
      <c r="AH1462" s="354"/>
      <c r="AI1462" s="354"/>
      <c r="AJ1462" s="354"/>
      <c r="AK1462" s="354"/>
      <c r="AL1462" s="354"/>
      <c r="AM1462" s="354"/>
      <c r="AN1462" s="354"/>
      <c r="AO1462" s="354"/>
      <c r="AP1462" s="354"/>
      <c r="AQ1462" s="354"/>
      <c r="AR1462" s="354"/>
      <c r="AS1462" s="354"/>
      <c r="AT1462" s="354"/>
      <c r="AU1462" s="354"/>
      <c r="AV1462" s="354"/>
      <c r="AW1462" s="354"/>
    </row>
    <row r="1463" spans="1:49">
      <c r="A1463" s="354"/>
      <c r="B1463" s="354"/>
      <c r="C1463" s="354"/>
      <c r="D1463" s="354"/>
      <c r="E1463" s="354"/>
      <c r="F1463" s="354"/>
      <c r="G1463" s="354"/>
      <c r="H1463" s="354"/>
      <c r="I1463" s="354"/>
      <c r="J1463" s="354"/>
      <c r="K1463" s="354"/>
      <c r="L1463" s="354"/>
      <c r="M1463" s="354"/>
      <c r="N1463" s="354"/>
      <c r="O1463" s="354"/>
      <c r="P1463" s="354"/>
      <c r="Q1463" s="354"/>
      <c r="R1463" s="354"/>
      <c r="S1463" s="354"/>
      <c r="T1463" s="354"/>
      <c r="U1463" s="354"/>
      <c r="V1463" s="354"/>
      <c r="W1463" s="354"/>
      <c r="X1463" s="354"/>
      <c r="Y1463" s="354"/>
      <c r="Z1463" s="354"/>
      <c r="AA1463" s="354"/>
      <c r="AB1463" s="354"/>
      <c r="AC1463" s="354"/>
      <c r="AD1463" s="354"/>
      <c r="AE1463" s="354"/>
      <c r="AF1463" s="354"/>
      <c r="AG1463" s="354"/>
      <c r="AH1463" s="354"/>
      <c r="AI1463" s="354"/>
      <c r="AJ1463" s="354"/>
      <c r="AK1463" s="354"/>
      <c r="AL1463" s="354"/>
      <c r="AM1463" s="354"/>
      <c r="AN1463" s="354"/>
      <c r="AO1463" s="354"/>
      <c r="AP1463" s="354"/>
      <c r="AQ1463" s="354"/>
      <c r="AR1463" s="354"/>
      <c r="AS1463" s="354"/>
      <c r="AT1463" s="354"/>
      <c r="AU1463" s="354"/>
      <c r="AV1463" s="354"/>
      <c r="AW1463" s="354"/>
    </row>
    <row r="1464" spans="1:49">
      <c r="A1464" s="354"/>
      <c r="B1464" s="354"/>
      <c r="C1464" s="354"/>
      <c r="D1464" s="354"/>
      <c r="E1464" s="354"/>
      <c r="F1464" s="354"/>
      <c r="G1464" s="354"/>
      <c r="H1464" s="354"/>
      <c r="I1464" s="354"/>
      <c r="J1464" s="354"/>
      <c r="K1464" s="354"/>
      <c r="L1464" s="354"/>
      <c r="M1464" s="354"/>
      <c r="N1464" s="354"/>
      <c r="O1464" s="354"/>
      <c r="P1464" s="354"/>
      <c r="Q1464" s="354"/>
      <c r="R1464" s="354"/>
      <c r="S1464" s="354"/>
      <c r="T1464" s="354"/>
      <c r="U1464" s="354"/>
      <c r="V1464" s="354"/>
      <c r="W1464" s="354"/>
      <c r="X1464" s="354"/>
      <c r="Y1464" s="354"/>
      <c r="Z1464" s="354"/>
      <c r="AA1464" s="354"/>
      <c r="AB1464" s="354"/>
      <c r="AC1464" s="354"/>
      <c r="AD1464" s="354"/>
      <c r="AE1464" s="354"/>
      <c r="AF1464" s="354"/>
      <c r="AG1464" s="354"/>
      <c r="AH1464" s="354"/>
      <c r="AI1464" s="354"/>
      <c r="AJ1464" s="354"/>
      <c r="AK1464" s="354"/>
      <c r="AL1464" s="354"/>
      <c r="AM1464" s="354"/>
      <c r="AN1464" s="354"/>
      <c r="AO1464" s="354"/>
      <c r="AP1464" s="354"/>
      <c r="AQ1464" s="354"/>
      <c r="AR1464" s="354"/>
      <c r="AS1464" s="354"/>
      <c r="AT1464" s="354"/>
      <c r="AU1464" s="354"/>
      <c r="AV1464" s="354"/>
      <c r="AW1464" s="354"/>
    </row>
    <row r="1465" spans="1:49">
      <c r="A1465" s="354"/>
      <c r="B1465" s="354"/>
      <c r="C1465" s="354"/>
      <c r="D1465" s="354"/>
      <c r="E1465" s="354"/>
      <c r="F1465" s="354"/>
      <c r="G1465" s="354"/>
      <c r="H1465" s="354"/>
      <c r="I1465" s="354"/>
      <c r="J1465" s="354"/>
      <c r="K1465" s="354"/>
      <c r="L1465" s="354"/>
      <c r="M1465" s="354"/>
      <c r="N1465" s="354"/>
      <c r="O1465" s="354"/>
      <c r="P1465" s="354"/>
      <c r="Q1465" s="354"/>
      <c r="R1465" s="354"/>
      <c r="S1465" s="354"/>
      <c r="T1465" s="354"/>
      <c r="U1465" s="354"/>
      <c r="V1465" s="354"/>
      <c r="W1465" s="354"/>
      <c r="X1465" s="354"/>
      <c r="Y1465" s="354"/>
      <c r="Z1465" s="354"/>
      <c r="AA1465" s="354"/>
      <c r="AB1465" s="354"/>
      <c r="AC1465" s="354"/>
      <c r="AD1465" s="354"/>
      <c r="AE1465" s="354"/>
      <c r="AF1465" s="354"/>
      <c r="AG1465" s="354"/>
      <c r="AH1465" s="354"/>
      <c r="AI1465" s="354"/>
      <c r="AJ1465" s="354"/>
      <c r="AK1465" s="354"/>
      <c r="AL1465" s="354"/>
      <c r="AM1465" s="354"/>
      <c r="AN1465" s="354"/>
      <c r="AO1465" s="354"/>
      <c r="AP1465" s="354"/>
      <c r="AQ1465" s="354"/>
      <c r="AR1465" s="354"/>
      <c r="AS1465" s="354"/>
      <c r="AT1465" s="354"/>
      <c r="AU1465" s="354"/>
      <c r="AV1465" s="354"/>
      <c r="AW1465" s="354"/>
    </row>
    <row r="1466" spans="1:49">
      <c r="A1466" s="354"/>
      <c r="B1466" s="354"/>
      <c r="C1466" s="354"/>
      <c r="D1466" s="354"/>
      <c r="E1466" s="354"/>
      <c r="F1466" s="354"/>
      <c r="G1466" s="354"/>
      <c r="H1466" s="354"/>
      <c r="I1466" s="354"/>
      <c r="J1466" s="354"/>
      <c r="K1466" s="354"/>
      <c r="L1466" s="354"/>
      <c r="M1466" s="354"/>
      <c r="N1466" s="354"/>
      <c r="O1466" s="354"/>
      <c r="P1466" s="354"/>
      <c r="Q1466" s="354"/>
      <c r="R1466" s="354"/>
      <c r="S1466" s="354"/>
      <c r="T1466" s="354"/>
      <c r="U1466" s="354"/>
      <c r="V1466" s="354"/>
      <c r="W1466" s="354"/>
      <c r="X1466" s="354"/>
      <c r="Y1466" s="354"/>
      <c r="Z1466" s="354"/>
      <c r="AA1466" s="354"/>
      <c r="AB1466" s="354"/>
      <c r="AC1466" s="354"/>
      <c r="AD1466" s="354"/>
      <c r="AE1466" s="354"/>
      <c r="AF1466" s="354"/>
      <c r="AG1466" s="354"/>
      <c r="AH1466" s="354"/>
      <c r="AI1466" s="354"/>
      <c r="AJ1466" s="354"/>
      <c r="AK1466" s="354"/>
      <c r="AL1466" s="354"/>
      <c r="AM1466" s="354"/>
      <c r="AN1466" s="354"/>
      <c r="AO1466" s="354"/>
      <c r="AP1466" s="354"/>
      <c r="AQ1466" s="354"/>
      <c r="AR1466" s="354"/>
      <c r="AS1466" s="354"/>
      <c r="AT1466" s="354"/>
      <c r="AU1466" s="354"/>
      <c r="AV1466" s="354"/>
      <c r="AW1466" s="354"/>
    </row>
    <row r="1467" spans="1:49">
      <c r="A1467" s="354"/>
      <c r="B1467" s="354"/>
      <c r="C1467" s="354"/>
      <c r="D1467" s="354"/>
      <c r="E1467" s="354"/>
      <c r="F1467" s="354"/>
      <c r="G1467" s="354"/>
      <c r="H1467" s="354"/>
      <c r="I1467" s="354"/>
      <c r="J1467" s="354"/>
      <c r="K1467" s="354"/>
      <c r="L1467" s="354"/>
      <c r="M1467" s="354"/>
      <c r="N1467" s="354"/>
      <c r="O1467" s="354"/>
      <c r="P1467" s="354"/>
      <c r="Q1467" s="354"/>
      <c r="R1467" s="354"/>
      <c r="S1467" s="354"/>
      <c r="T1467" s="354"/>
      <c r="U1467" s="354"/>
      <c r="V1467" s="354"/>
      <c r="W1467" s="354"/>
      <c r="X1467" s="354"/>
      <c r="Y1467" s="354"/>
      <c r="Z1467" s="354"/>
      <c r="AA1467" s="354"/>
      <c r="AB1467" s="354"/>
      <c r="AC1467" s="354"/>
      <c r="AD1467" s="354"/>
      <c r="AE1467" s="354"/>
      <c r="AF1467" s="354"/>
      <c r="AG1467" s="354"/>
      <c r="AH1467" s="354"/>
      <c r="AI1467" s="354"/>
      <c r="AJ1467" s="354"/>
      <c r="AK1467" s="354"/>
      <c r="AL1467" s="354"/>
      <c r="AM1467" s="354"/>
      <c r="AN1467" s="354"/>
      <c r="AO1467" s="354"/>
      <c r="AP1467" s="354"/>
      <c r="AQ1467" s="354"/>
      <c r="AR1467" s="354"/>
      <c r="AS1467" s="354"/>
      <c r="AT1467" s="354"/>
      <c r="AU1467" s="354"/>
      <c r="AV1467" s="354"/>
      <c r="AW1467" s="354"/>
    </row>
    <row r="1468" spans="1:49">
      <c r="A1468" s="354"/>
      <c r="B1468" s="354"/>
      <c r="C1468" s="354"/>
      <c r="D1468" s="354"/>
      <c r="E1468" s="354"/>
      <c r="F1468" s="354"/>
      <c r="G1468" s="354"/>
      <c r="H1468" s="354"/>
      <c r="I1468" s="354"/>
      <c r="J1468" s="354"/>
      <c r="K1468" s="354"/>
      <c r="L1468" s="354"/>
      <c r="M1468" s="354"/>
      <c r="N1468" s="354"/>
      <c r="O1468" s="354"/>
      <c r="P1468" s="354"/>
      <c r="Q1468" s="354"/>
      <c r="R1468" s="354"/>
      <c r="S1468" s="354"/>
      <c r="T1468" s="354"/>
      <c r="U1468" s="354"/>
      <c r="V1468" s="354"/>
      <c r="W1468" s="354"/>
      <c r="X1468" s="354"/>
      <c r="Y1468" s="354"/>
      <c r="Z1468" s="354"/>
      <c r="AA1468" s="354"/>
      <c r="AB1468" s="354"/>
      <c r="AC1468" s="354"/>
      <c r="AD1468" s="354"/>
      <c r="AE1468" s="354"/>
      <c r="AF1468" s="354"/>
      <c r="AG1468" s="354"/>
      <c r="AH1468" s="354"/>
      <c r="AI1468" s="354"/>
      <c r="AJ1468" s="354"/>
      <c r="AK1468" s="354"/>
      <c r="AL1468" s="354"/>
      <c r="AM1468" s="354"/>
      <c r="AN1468" s="354"/>
      <c r="AO1468" s="354"/>
      <c r="AP1468" s="354"/>
      <c r="AQ1468" s="354"/>
      <c r="AR1468" s="354"/>
      <c r="AS1468" s="354"/>
      <c r="AT1468" s="354"/>
      <c r="AU1468" s="354"/>
      <c r="AV1468" s="354"/>
      <c r="AW1468" s="354"/>
    </row>
    <row r="1469" spans="1:49">
      <c r="A1469" s="354"/>
      <c r="B1469" s="354"/>
      <c r="C1469" s="354"/>
      <c r="D1469" s="354"/>
      <c r="E1469" s="354"/>
      <c r="F1469" s="354"/>
      <c r="G1469" s="354"/>
      <c r="H1469" s="354"/>
      <c r="I1469" s="354"/>
      <c r="J1469" s="354"/>
      <c r="K1469" s="354"/>
      <c r="L1469" s="354"/>
      <c r="M1469" s="354"/>
      <c r="N1469" s="354"/>
      <c r="O1469" s="354"/>
      <c r="P1469" s="354"/>
      <c r="Q1469" s="354"/>
      <c r="R1469" s="354"/>
      <c r="S1469" s="354"/>
      <c r="T1469" s="354"/>
      <c r="U1469" s="354"/>
      <c r="V1469" s="354"/>
      <c r="W1469" s="354"/>
      <c r="X1469" s="354"/>
      <c r="Y1469" s="354"/>
      <c r="Z1469" s="354"/>
      <c r="AA1469" s="354"/>
      <c r="AB1469" s="354"/>
      <c r="AC1469" s="354"/>
      <c r="AD1469" s="354"/>
      <c r="AE1469" s="354"/>
      <c r="AF1469" s="354"/>
      <c r="AG1469" s="354"/>
      <c r="AH1469" s="354"/>
      <c r="AI1469" s="354"/>
      <c r="AJ1469" s="354"/>
      <c r="AK1469" s="354"/>
      <c r="AL1469" s="354"/>
      <c r="AM1469" s="354"/>
      <c r="AN1469" s="354"/>
      <c r="AO1469" s="354"/>
      <c r="AP1469" s="354"/>
      <c r="AQ1469" s="354"/>
      <c r="AR1469" s="354"/>
      <c r="AS1469" s="354"/>
      <c r="AT1469" s="354"/>
      <c r="AU1469" s="354"/>
      <c r="AV1469" s="354"/>
      <c r="AW1469" s="354"/>
    </row>
    <row r="1470" spans="1:49">
      <c r="A1470" s="354"/>
      <c r="B1470" s="354"/>
      <c r="C1470" s="354"/>
      <c r="D1470" s="354"/>
      <c r="E1470" s="354"/>
      <c r="F1470" s="354"/>
      <c r="G1470" s="354"/>
      <c r="H1470" s="354"/>
      <c r="I1470" s="354"/>
      <c r="J1470" s="354"/>
      <c r="K1470" s="354"/>
      <c r="L1470" s="354"/>
      <c r="M1470" s="354"/>
      <c r="N1470" s="354"/>
      <c r="O1470" s="354"/>
      <c r="P1470" s="354"/>
      <c r="Q1470" s="354"/>
      <c r="R1470" s="354"/>
      <c r="S1470" s="354"/>
      <c r="T1470" s="354"/>
      <c r="U1470" s="354"/>
      <c r="V1470" s="354"/>
      <c r="W1470" s="354"/>
      <c r="X1470" s="354"/>
      <c r="Y1470" s="354"/>
      <c r="Z1470" s="354"/>
      <c r="AA1470" s="354"/>
      <c r="AB1470" s="354"/>
      <c r="AC1470" s="354"/>
      <c r="AD1470" s="354"/>
      <c r="AE1470" s="354"/>
      <c r="AF1470" s="354"/>
      <c r="AG1470" s="354"/>
      <c r="AH1470" s="354"/>
      <c r="AI1470" s="354"/>
      <c r="AJ1470" s="354"/>
      <c r="AK1470" s="354"/>
      <c r="AL1470" s="354"/>
      <c r="AM1470" s="354"/>
      <c r="AN1470" s="354"/>
      <c r="AO1470" s="354"/>
      <c r="AP1470" s="354"/>
      <c r="AQ1470" s="354"/>
      <c r="AR1470" s="354"/>
      <c r="AS1470" s="354"/>
      <c r="AT1470" s="354"/>
      <c r="AU1470" s="354"/>
      <c r="AV1470" s="354"/>
      <c r="AW1470" s="354"/>
    </row>
    <row r="1471" spans="1:49">
      <c r="A1471" s="354"/>
      <c r="B1471" s="354"/>
      <c r="C1471" s="354"/>
      <c r="D1471" s="354"/>
      <c r="E1471" s="354"/>
      <c r="F1471" s="354"/>
      <c r="G1471" s="354"/>
      <c r="H1471" s="354"/>
      <c r="I1471" s="354"/>
      <c r="J1471" s="354"/>
      <c r="K1471" s="354"/>
      <c r="L1471" s="354"/>
      <c r="M1471" s="354"/>
      <c r="N1471" s="354"/>
      <c r="O1471" s="354"/>
      <c r="P1471" s="354"/>
      <c r="Q1471" s="354"/>
      <c r="R1471" s="354"/>
      <c r="S1471" s="354"/>
      <c r="T1471" s="354"/>
      <c r="U1471" s="354"/>
      <c r="V1471" s="354"/>
      <c r="W1471" s="354"/>
      <c r="X1471" s="354"/>
      <c r="Y1471" s="354"/>
      <c r="Z1471" s="354"/>
      <c r="AA1471" s="354"/>
      <c r="AB1471" s="354"/>
      <c r="AC1471" s="354"/>
      <c r="AD1471" s="354"/>
      <c r="AE1471" s="354"/>
      <c r="AF1471" s="354"/>
      <c r="AG1471" s="354"/>
      <c r="AH1471" s="354"/>
      <c r="AI1471" s="354"/>
      <c r="AJ1471" s="354"/>
      <c r="AK1471" s="354"/>
      <c r="AL1471" s="354"/>
      <c r="AM1471" s="354"/>
      <c r="AN1471" s="354"/>
      <c r="AO1471" s="354"/>
      <c r="AP1471" s="354"/>
      <c r="AQ1471" s="354"/>
      <c r="AR1471" s="354"/>
      <c r="AS1471" s="354"/>
      <c r="AT1471" s="354"/>
      <c r="AU1471" s="354"/>
      <c r="AV1471" s="354"/>
      <c r="AW1471" s="354"/>
    </row>
    <row r="1472" spans="1:49">
      <c r="A1472" s="354"/>
      <c r="B1472" s="354"/>
      <c r="C1472" s="354"/>
      <c r="D1472" s="354"/>
      <c r="E1472" s="354"/>
      <c r="F1472" s="354"/>
      <c r="G1472" s="354"/>
      <c r="H1472" s="354"/>
      <c r="I1472" s="354"/>
      <c r="J1472" s="354"/>
      <c r="K1472" s="354"/>
      <c r="L1472" s="354"/>
      <c r="M1472" s="354"/>
      <c r="N1472" s="354"/>
      <c r="O1472" s="354"/>
      <c r="P1472" s="354"/>
      <c r="Q1472" s="354"/>
      <c r="R1472" s="354"/>
      <c r="S1472" s="354"/>
      <c r="T1472" s="354"/>
      <c r="U1472" s="354"/>
      <c r="V1472" s="354"/>
      <c r="W1472" s="354"/>
      <c r="X1472" s="354"/>
      <c r="Y1472" s="354"/>
      <c r="Z1472" s="354"/>
      <c r="AA1472" s="354"/>
      <c r="AB1472" s="354"/>
      <c r="AC1472" s="354"/>
      <c r="AD1472" s="354"/>
      <c r="AE1472" s="354"/>
      <c r="AF1472" s="354"/>
      <c r="AG1472" s="354"/>
      <c r="AH1472" s="354"/>
      <c r="AI1472" s="354"/>
      <c r="AJ1472" s="354"/>
      <c r="AK1472" s="354"/>
      <c r="AL1472" s="354"/>
      <c r="AM1472" s="354"/>
      <c r="AN1472" s="354"/>
      <c r="AO1472" s="354"/>
      <c r="AP1472" s="354"/>
      <c r="AQ1472" s="354"/>
      <c r="AR1472" s="354"/>
      <c r="AS1472" s="354"/>
      <c r="AT1472" s="354"/>
      <c r="AU1472" s="354"/>
      <c r="AV1472" s="354"/>
      <c r="AW1472" s="354"/>
    </row>
    <row r="1473" spans="1:49">
      <c r="A1473" s="354"/>
      <c r="B1473" s="354"/>
      <c r="C1473" s="354"/>
      <c r="D1473" s="354"/>
      <c r="E1473" s="354"/>
      <c r="F1473" s="354"/>
      <c r="G1473" s="354"/>
      <c r="H1473" s="354"/>
      <c r="I1473" s="354"/>
      <c r="J1473" s="354"/>
      <c r="K1473" s="354"/>
      <c r="L1473" s="354"/>
      <c r="M1473" s="354"/>
      <c r="N1473" s="354"/>
      <c r="O1473" s="354"/>
      <c r="P1473" s="354"/>
      <c r="Q1473" s="354"/>
      <c r="R1473" s="354"/>
      <c r="S1473" s="354"/>
      <c r="T1473" s="354"/>
      <c r="U1473" s="354"/>
      <c r="V1473" s="354"/>
      <c r="W1473" s="354"/>
      <c r="X1473" s="354"/>
      <c r="Y1473" s="354"/>
      <c r="Z1473" s="354"/>
      <c r="AA1473" s="354"/>
      <c r="AB1473" s="354"/>
      <c r="AC1473" s="354"/>
      <c r="AD1473" s="354"/>
      <c r="AE1473" s="354"/>
      <c r="AF1473" s="354"/>
      <c r="AG1473" s="354"/>
      <c r="AH1473" s="354"/>
      <c r="AI1473" s="354"/>
      <c r="AJ1473" s="354"/>
      <c r="AK1473" s="354"/>
      <c r="AL1473" s="354"/>
      <c r="AM1473" s="354"/>
      <c r="AN1473" s="354"/>
      <c r="AO1473" s="354"/>
      <c r="AP1473" s="354"/>
      <c r="AQ1473" s="354"/>
      <c r="AR1473" s="354"/>
      <c r="AS1473" s="354"/>
      <c r="AT1473" s="354"/>
      <c r="AU1473" s="354"/>
      <c r="AV1473" s="354"/>
      <c r="AW1473" s="354"/>
    </row>
    <row r="1474" spans="1:49">
      <c r="A1474" s="354"/>
      <c r="B1474" s="354"/>
      <c r="C1474" s="354"/>
      <c r="D1474" s="354"/>
      <c r="E1474" s="354"/>
      <c r="F1474" s="354"/>
      <c r="G1474" s="354"/>
      <c r="H1474" s="354"/>
      <c r="I1474" s="354"/>
      <c r="J1474" s="354"/>
      <c r="K1474" s="354"/>
      <c r="L1474" s="354"/>
      <c r="M1474" s="354"/>
      <c r="N1474" s="354"/>
      <c r="O1474" s="354"/>
      <c r="P1474" s="354"/>
      <c r="Q1474" s="354"/>
      <c r="R1474" s="354"/>
      <c r="S1474" s="354"/>
      <c r="T1474" s="354"/>
      <c r="U1474" s="354"/>
      <c r="V1474" s="354"/>
      <c r="W1474" s="354"/>
      <c r="X1474" s="354"/>
      <c r="Y1474" s="354"/>
      <c r="Z1474" s="354"/>
      <c r="AA1474" s="354"/>
      <c r="AB1474" s="354"/>
      <c r="AC1474" s="354"/>
      <c r="AD1474" s="354"/>
      <c r="AE1474" s="354"/>
      <c r="AF1474" s="354"/>
      <c r="AG1474" s="354"/>
      <c r="AH1474" s="354"/>
      <c r="AI1474" s="354"/>
      <c r="AJ1474" s="354"/>
      <c r="AK1474" s="354"/>
      <c r="AL1474" s="354"/>
      <c r="AM1474" s="354"/>
      <c r="AN1474" s="354"/>
      <c r="AO1474" s="354"/>
      <c r="AP1474" s="354"/>
      <c r="AQ1474" s="354"/>
      <c r="AR1474" s="354"/>
      <c r="AS1474" s="354"/>
      <c r="AT1474" s="354"/>
      <c r="AU1474" s="354"/>
      <c r="AV1474" s="354"/>
      <c r="AW1474" s="354"/>
    </row>
    <row r="1475" spans="1:49">
      <c r="A1475" s="354"/>
      <c r="B1475" s="354"/>
      <c r="C1475" s="354"/>
      <c r="D1475" s="354"/>
      <c r="E1475" s="354"/>
      <c r="F1475" s="354"/>
      <c r="G1475" s="354"/>
      <c r="H1475" s="354"/>
      <c r="I1475" s="354"/>
      <c r="J1475" s="354"/>
      <c r="K1475" s="354"/>
      <c r="L1475" s="354"/>
      <c r="M1475" s="354"/>
      <c r="N1475" s="354"/>
      <c r="O1475" s="354"/>
      <c r="P1475" s="354"/>
      <c r="Q1475" s="354"/>
      <c r="R1475" s="354"/>
      <c r="S1475" s="354"/>
      <c r="T1475" s="354"/>
      <c r="U1475" s="354"/>
      <c r="V1475" s="354"/>
      <c r="W1475" s="354"/>
      <c r="X1475" s="354"/>
      <c r="Y1475" s="354"/>
      <c r="Z1475" s="354"/>
      <c r="AA1475" s="354"/>
      <c r="AB1475" s="354"/>
      <c r="AC1475" s="354"/>
      <c r="AD1475" s="354"/>
      <c r="AE1475" s="354"/>
      <c r="AF1475" s="354"/>
      <c r="AG1475" s="354"/>
      <c r="AH1475" s="354"/>
      <c r="AI1475" s="354"/>
      <c r="AJ1475" s="354"/>
      <c r="AK1475" s="354"/>
      <c r="AL1475" s="354"/>
      <c r="AM1475" s="354"/>
      <c r="AN1475" s="354"/>
      <c r="AO1475" s="354"/>
      <c r="AP1475" s="354"/>
      <c r="AQ1475" s="354"/>
      <c r="AR1475" s="354"/>
      <c r="AS1475" s="354"/>
      <c r="AT1475" s="354"/>
      <c r="AU1475" s="354"/>
      <c r="AV1475" s="354"/>
      <c r="AW1475" s="354"/>
    </row>
    <row r="1476" spans="1:49">
      <c r="A1476" s="354"/>
      <c r="B1476" s="354"/>
      <c r="C1476" s="354"/>
      <c r="D1476" s="354"/>
      <c r="E1476" s="354"/>
      <c r="F1476" s="354"/>
      <c r="G1476" s="354"/>
      <c r="H1476" s="354"/>
      <c r="I1476" s="354"/>
      <c r="J1476" s="354"/>
      <c r="K1476" s="354"/>
      <c r="L1476" s="354"/>
      <c r="M1476" s="354"/>
      <c r="N1476" s="354"/>
      <c r="O1476" s="354"/>
      <c r="P1476" s="354"/>
      <c r="Q1476" s="354"/>
      <c r="R1476" s="354"/>
      <c r="S1476" s="354"/>
      <c r="T1476" s="354"/>
      <c r="U1476" s="354"/>
      <c r="V1476" s="354"/>
      <c r="W1476" s="354"/>
      <c r="X1476" s="354"/>
      <c r="Y1476" s="354"/>
      <c r="Z1476" s="354"/>
      <c r="AA1476" s="354"/>
      <c r="AB1476" s="354"/>
      <c r="AC1476" s="354"/>
      <c r="AD1476" s="354"/>
      <c r="AE1476" s="354"/>
      <c r="AF1476" s="354"/>
      <c r="AG1476" s="354"/>
      <c r="AH1476" s="354"/>
      <c r="AI1476" s="354"/>
      <c r="AJ1476" s="354"/>
      <c r="AK1476" s="354"/>
      <c r="AL1476" s="354"/>
      <c r="AM1476" s="354"/>
      <c r="AN1476" s="354"/>
      <c r="AO1476" s="354"/>
      <c r="AP1476" s="354"/>
      <c r="AQ1476" s="354"/>
      <c r="AR1476" s="354"/>
      <c r="AS1476" s="354"/>
      <c r="AT1476" s="354"/>
      <c r="AU1476" s="354"/>
      <c r="AV1476" s="354"/>
      <c r="AW1476" s="354"/>
    </row>
    <row r="1477" spans="1:49">
      <c r="A1477" s="354"/>
      <c r="B1477" s="354"/>
      <c r="C1477" s="354"/>
      <c r="D1477" s="354"/>
      <c r="E1477" s="354"/>
      <c r="F1477" s="354"/>
      <c r="G1477" s="354"/>
      <c r="H1477" s="354"/>
      <c r="I1477" s="354"/>
      <c r="J1477" s="354"/>
      <c r="K1477" s="354"/>
      <c r="L1477" s="354"/>
      <c r="M1477" s="354"/>
      <c r="N1477" s="354"/>
      <c r="O1477" s="354"/>
      <c r="P1477" s="354"/>
      <c r="Q1477" s="354"/>
      <c r="R1477" s="354"/>
      <c r="S1477" s="354"/>
      <c r="T1477" s="354"/>
      <c r="U1477" s="354"/>
      <c r="V1477" s="354"/>
      <c r="W1477" s="354"/>
      <c r="X1477" s="354"/>
      <c r="Y1477" s="354"/>
      <c r="Z1477" s="354"/>
      <c r="AA1477" s="354"/>
      <c r="AB1477" s="354"/>
      <c r="AC1477" s="354"/>
      <c r="AD1477" s="354"/>
      <c r="AE1477" s="354"/>
      <c r="AF1477" s="354"/>
      <c r="AG1477" s="354"/>
      <c r="AH1477" s="354"/>
      <c r="AI1477" s="354"/>
      <c r="AJ1477" s="354"/>
      <c r="AK1477" s="354"/>
      <c r="AL1477" s="354"/>
      <c r="AM1477" s="354"/>
      <c r="AN1477" s="354"/>
      <c r="AO1477" s="354"/>
      <c r="AP1477" s="354"/>
      <c r="AQ1477" s="354"/>
      <c r="AR1477" s="354"/>
      <c r="AS1477" s="354"/>
      <c r="AT1477" s="354"/>
      <c r="AU1477" s="354"/>
      <c r="AV1477" s="354"/>
      <c r="AW1477" s="354"/>
    </row>
    <row r="1478" spans="1:49">
      <c r="A1478" s="354"/>
      <c r="B1478" s="354"/>
      <c r="C1478" s="354"/>
      <c r="D1478" s="354"/>
      <c r="E1478" s="354"/>
      <c r="F1478" s="354"/>
      <c r="G1478" s="354"/>
      <c r="H1478" s="354"/>
      <c r="I1478" s="354"/>
      <c r="J1478" s="354"/>
      <c r="K1478" s="354"/>
      <c r="L1478" s="354"/>
      <c r="M1478" s="354"/>
      <c r="N1478" s="354"/>
      <c r="O1478" s="354"/>
      <c r="P1478" s="354"/>
      <c r="Q1478" s="354"/>
      <c r="R1478" s="354"/>
      <c r="S1478" s="354"/>
      <c r="T1478" s="354"/>
      <c r="U1478" s="354"/>
      <c r="V1478" s="354"/>
      <c r="W1478" s="354"/>
      <c r="X1478" s="354"/>
      <c r="Y1478" s="354"/>
      <c r="Z1478" s="354"/>
      <c r="AA1478" s="354"/>
      <c r="AB1478" s="354"/>
      <c r="AC1478" s="354"/>
      <c r="AD1478" s="354"/>
      <c r="AE1478" s="354"/>
      <c r="AF1478" s="354"/>
      <c r="AG1478" s="354"/>
      <c r="AH1478" s="354"/>
      <c r="AI1478" s="354"/>
      <c r="AJ1478" s="354"/>
      <c r="AK1478" s="354"/>
      <c r="AL1478" s="354"/>
      <c r="AM1478" s="354"/>
      <c r="AN1478" s="354"/>
      <c r="AO1478" s="354"/>
      <c r="AP1478" s="354"/>
      <c r="AQ1478" s="354"/>
      <c r="AR1478" s="354"/>
      <c r="AS1478" s="354"/>
      <c r="AT1478" s="354"/>
      <c r="AU1478" s="354"/>
      <c r="AV1478" s="354"/>
      <c r="AW1478" s="354"/>
    </row>
    <row r="1479" spans="1:49">
      <c r="A1479" s="354"/>
      <c r="B1479" s="354"/>
      <c r="C1479" s="354"/>
      <c r="D1479" s="354"/>
      <c r="E1479" s="354"/>
      <c r="F1479" s="354"/>
      <c r="G1479" s="354"/>
      <c r="H1479" s="354"/>
      <c r="I1479" s="354"/>
      <c r="J1479" s="354"/>
      <c r="K1479" s="354"/>
      <c r="L1479" s="354"/>
      <c r="M1479" s="354"/>
      <c r="N1479" s="354"/>
      <c r="O1479" s="354"/>
      <c r="P1479" s="354"/>
      <c r="Q1479" s="354"/>
      <c r="R1479" s="354"/>
      <c r="S1479" s="354"/>
      <c r="T1479" s="354"/>
      <c r="U1479" s="354"/>
      <c r="V1479" s="354"/>
      <c r="W1479" s="354"/>
      <c r="X1479" s="354"/>
      <c r="Y1479" s="354"/>
      <c r="Z1479" s="354"/>
      <c r="AA1479" s="354"/>
      <c r="AB1479" s="354"/>
      <c r="AC1479" s="354"/>
      <c r="AD1479" s="354"/>
      <c r="AE1479" s="354"/>
      <c r="AF1479" s="354"/>
      <c r="AG1479" s="354"/>
      <c r="AH1479" s="354"/>
      <c r="AI1479" s="354"/>
      <c r="AJ1479" s="354"/>
      <c r="AK1479" s="354"/>
      <c r="AL1479" s="354"/>
      <c r="AM1479" s="354"/>
      <c r="AN1479" s="354"/>
      <c r="AO1479" s="354"/>
      <c r="AP1479" s="354"/>
      <c r="AQ1479" s="354"/>
      <c r="AR1479" s="354"/>
      <c r="AS1479" s="354"/>
      <c r="AT1479" s="354"/>
      <c r="AU1479" s="354"/>
      <c r="AV1479" s="354"/>
      <c r="AW1479" s="354"/>
    </row>
    <row r="1480" spans="1:49">
      <c r="A1480" s="354"/>
      <c r="B1480" s="354"/>
      <c r="C1480" s="354"/>
      <c r="D1480" s="354"/>
      <c r="E1480" s="354"/>
      <c r="F1480" s="354"/>
      <c r="G1480" s="354"/>
      <c r="H1480" s="354"/>
      <c r="I1480" s="354"/>
      <c r="J1480" s="354"/>
      <c r="K1480" s="354"/>
      <c r="L1480" s="354"/>
      <c r="M1480" s="354"/>
      <c r="N1480" s="354"/>
      <c r="O1480" s="354"/>
      <c r="P1480" s="354"/>
      <c r="Q1480" s="354"/>
      <c r="R1480" s="354"/>
      <c r="S1480" s="354"/>
      <c r="T1480" s="354"/>
      <c r="U1480" s="354"/>
      <c r="V1480" s="354"/>
      <c r="W1480" s="354"/>
      <c r="X1480" s="354"/>
      <c r="Y1480" s="354"/>
      <c r="Z1480" s="354"/>
      <c r="AA1480" s="354"/>
      <c r="AB1480" s="354"/>
      <c r="AC1480" s="354"/>
      <c r="AD1480" s="354"/>
      <c r="AE1480" s="354"/>
      <c r="AF1480" s="354"/>
      <c r="AG1480" s="354"/>
      <c r="AH1480" s="354"/>
      <c r="AI1480" s="354"/>
      <c r="AJ1480" s="354"/>
      <c r="AK1480" s="354"/>
      <c r="AL1480" s="354"/>
      <c r="AM1480" s="354"/>
      <c r="AN1480" s="354"/>
      <c r="AO1480" s="354"/>
      <c r="AP1480" s="354"/>
      <c r="AQ1480" s="354"/>
      <c r="AR1480" s="354"/>
      <c r="AS1480" s="354"/>
      <c r="AT1480" s="354"/>
      <c r="AU1480" s="354"/>
      <c r="AV1480" s="354"/>
      <c r="AW1480" s="354"/>
    </row>
    <row r="1481" spans="1:49">
      <c r="A1481" s="354"/>
      <c r="B1481" s="354"/>
      <c r="C1481" s="354"/>
      <c r="D1481" s="354"/>
      <c r="E1481" s="354"/>
      <c r="F1481" s="354"/>
      <c r="G1481" s="354"/>
      <c r="H1481" s="354"/>
      <c r="I1481" s="354"/>
      <c r="J1481" s="354"/>
      <c r="K1481" s="354"/>
      <c r="L1481" s="354"/>
      <c r="M1481" s="354"/>
      <c r="N1481" s="354"/>
      <c r="O1481" s="354"/>
      <c r="P1481" s="354"/>
      <c r="Q1481" s="354"/>
      <c r="R1481" s="354"/>
      <c r="S1481" s="354"/>
      <c r="T1481" s="354"/>
      <c r="U1481" s="354"/>
      <c r="V1481" s="354"/>
      <c r="W1481" s="354"/>
      <c r="X1481" s="354"/>
      <c r="Y1481" s="354"/>
      <c r="Z1481" s="354"/>
      <c r="AA1481" s="354"/>
      <c r="AB1481" s="354"/>
      <c r="AC1481" s="354"/>
      <c r="AD1481" s="354"/>
      <c r="AE1481" s="354"/>
      <c r="AF1481" s="354"/>
      <c r="AG1481" s="354"/>
      <c r="AH1481" s="354"/>
      <c r="AI1481" s="354"/>
      <c r="AJ1481" s="354"/>
      <c r="AK1481" s="354"/>
      <c r="AL1481" s="354"/>
      <c r="AM1481" s="354"/>
      <c r="AN1481" s="354"/>
      <c r="AO1481" s="354"/>
      <c r="AP1481" s="354"/>
      <c r="AQ1481" s="354"/>
      <c r="AR1481" s="354"/>
      <c r="AS1481" s="354"/>
      <c r="AT1481" s="354"/>
      <c r="AU1481" s="354"/>
      <c r="AV1481" s="354"/>
      <c r="AW1481" s="354"/>
    </row>
    <row r="1482" spans="1:49">
      <c r="A1482" s="354"/>
      <c r="B1482" s="354"/>
      <c r="C1482" s="354"/>
      <c r="D1482" s="354"/>
      <c r="E1482" s="354"/>
      <c r="F1482" s="354"/>
      <c r="G1482" s="354"/>
      <c r="H1482" s="354"/>
      <c r="I1482" s="354"/>
      <c r="J1482" s="354"/>
      <c r="K1482" s="354"/>
      <c r="L1482" s="354"/>
      <c r="M1482" s="354"/>
      <c r="N1482" s="354"/>
      <c r="O1482" s="354"/>
      <c r="P1482" s="354"/>
      <c r="Q1482" s="354"/>
      <c r="R1482" s="354"/>
      <c r="S1482" s="354"/>
      <c r="T1482" s="354"/>
      <c r="U1482" s="354"/>
      <c r="V1482" s="354"/>
      <c r="W1482" s="354"/>
      <c r="X1482" s="354"/>
      <c r="Y1482" s="354"/>
      <c r="Z1482" s="354"/>
      <c r="AA1482" s="354"/>
      <c r="AB1482" s="354"/>
      <c r="AC1482" s="354"/>
      <c r="AD1482" s="354"/>
      <c r="AE1482" s="354"/>
      <c r="AF1482" s="354"/>
      <c r="AG1482" s="354"/>
      <c r="AH1482" s="354"/>
      <c r="AI1482" s="354"/>
      <c r="AJ1482" s="354"/>
      <c r="AK1482" s="354"/>
      <c r="AL1482" s="354"/>
      <c r="AM1482" s="354"/>
      <c r="AN1482" s="354"/>
      <c r="AO1482" s="354"/>
      <c r="AP1482" s="354"/>
      <c r="AQ1482" s="354"/>
      <c r="AR1482" s="354"/>
      <c r="AS1482" s="354"/>
      <c r="AT1482" s="354"/>
      <c r="AU1482" s="354"/>
      <c r="AV1482" s="354"/>
      <c r="AW1482" s="354"/>
    </row>
    <row r="1483" spans="1:49">
      <c r="A1483" s="354"/>
      <c r="B1483" s="354"/>
      <c r="C1483" s="354"/>
      <c r="D1483" s="354"/>
      <c r="E1483" s="354"/>
      <c r="F1483" s="354"/>
      <c r="G1483" s="354"/>
      <c r="H1483" s="354"/>
      <c r="I1483" s="354"/>
      <c r="J1483" s="354"/>
      <c r="K1483" s="354"/>
      <c r="L1483" s="354"/>
      <c r="M1483" s="354"/>
      <c r="N1483" s="354"/>
      <c r="O1483" s="354"/>
      <c r="P1483" s="354"/>
      <c r="Q1483" s="354"/>
      <c r="R1483" s="354"/>
      <c r="S1483" s="354"/>
      <c r="T1483" s="354"/>
      <c r="U1483" s="354"/>
      <c r="V1483" s="354"/>
      <c r="W1483" s="354"/>
      <c r="X1483" s="354"/>
      <c r="Y1483" s="354"/>
      <c r="Z1483" s="354"/>
      <c r="AA1483" s="354"/>
      <c r="AB1483" s="354"/>
      <c r="AC1483" s="354"/>
      <c r="AD1483" s="354"/>
      <c r="AE1483" s="354"/>
      <c r="AF1483" s="354"/>
      <c r="AG1483" s="354"/>
      <c r="AH1483" s="354"/>
      <c r="AI1483" s="354"/>
      <c r="AJ1483" s="354"/>
      <c r="AK1483" s="354"/>
      <c r="AL1483" s="354"/>
      <c r="AM1483" s="354"/>
      <c r="AN1483" s="354"/>
      <c r="AO1483" s="354"/>
      <c r="AP1483" s="354"/>
      <c r="AQ1483" s="354"/>
      <c r="AR1483" s="354"/>
      <c r="AS1483" s="354"/>
      <c r="AT1483" s="354"/>
      <c r="AU1483" s="354"/>
      <c r="AV1483" s="354"/>
      <c r="AW1483" s="354"/>
    </row>
    <row r="1484" spans="1:49">
      <c r="A1484" s="354"/>
      <c r="B1484" s="354"/>
      <c r="C1484" s="354"/>
      <c r="D1484" s="354"/>
      <c r="E1484" s="354"/>
      <c r="F1484" s="354"/>
      <c r="G1484" s="354"/>
      <c r="H1484" s="354"/>
      <c r="I1484" s="354"/>
      <c r="J1484" s="354"/>
      <c r="K1484" s="354"/>
      <c r="L1484" s="354"/>
      <c r="M1484" s="354"/>
      <c r="N1484" s="354"/>
      <c r="O1484" s="354"/>
      <c r="P1484" s="354"/>
      <c r="Q1484" s="354"/>
      <c r="R1484" s="354"/>
      <c r="S1484" s="354"/>
      <c r="T1484" s="354"/>
      <c r="U1484" s="354"/>
      <c r="V1484" s="354"/>
      <c r="W1484" s="354"/>
      <c r="X1484" s="354"/>
      <c r="Y1484" s="354"/>
      <c r="Z1484" s="354"/>
      <c r="AA1484" s="354"/>
      <c r="AB1484" s="354"/>
      <c r="AC1484" s="354"/>
      <c r="AD1484" s="354"/>
      <c r="AE1484" s="354"/>
      <c r="AF1484" s="354"/>
      <c r="AG1484" s="354"/>
      <c r="AH1484" s="354"/>
      <c r="AI1484" s="354"/>
      <c r="AJ1484" s="354"/>
      <c r="AK1484" s="354"/>
      <c r="AL1484" s="354"/>
      <c r="AM1484" s="354"/>
      <c r="AN1484" s="354"/>
      <c r="AO1484" s="354"/>
      <c r="AP1484" s="354"/>
      <c r="AQ1484" s="354"/>
      <c r="AR1484" s="354"/>
      <c r="AS1484" s="354"/>
      <c r="AT1484" s="354"/>
      <c r="AU1484" s="354"/>
      <c r="AV1484" s="354"/>
      <c r="AW1484" s="354"/>
    </row>
    <row r="1485" spans="1:49">
      <c r="A1485" s="354"/>
      <c r="B1485" s="354"/>
      <c r="C1485" s="354"/>
      <c r="D1485" s="354"/>
      <c r="E1485" s="354"/>
      <c r="F1485" s="354"/>
      <c r="G1485" s="354"/>
      <c r="H1485" s="354"/>
      <c r="I1485" s="354"/>
      <c r="J1485" s="354"/>
      <c r="K1485" s="354"/>
      <c r="L1485" s="354"/>
      <c r="M1485" s="354"/>
      <c r="N1485" s="354"/>
      <c r="O1485" s="354"/>
      <c r="P1485" s="354"/>
      <c r="Q1485" s="354"/>
      <c r="R1485" s="354"/>
      <c r="S1485" s="354"/>
      <c r="T1485" s="354"/>
      <c r="U1485" s="354"/>
      <c r="V1485" s="354"/>
      <c r="W1485" s="354"/>
      <c r="X1485" s="354"/>
      <c r="Y1485" s="354"/>
      <c r="Z1485" s="354"/>
      <c r="AA1485" s="354"/>
      <c r="AB1485" s="354"/>
      <c r="AC1485" s="354"/>
      <c r="AD1485" s="354"/>
      <c r="AE1485" s="354"/>
      <c r="AF1485" s="354"/>
      <c r="AG1485" s="354"/>
      <c r="AH1485" s="354"/>
      <c r="AI1485" s="354"/>
      <c r="AJ1485" s="354"/>
      <c r="AK1485" s="354"/>
      <c r="AL1485" s="354"/>
      <c r="AM1485" s="354"/>
      <c r="AN1485" s="354"/>
      <c r="AO1485" s="354"/>
      <c r="AP1485" s="354"/>
      <c r="AQ1485" s="354"/>
      <c r="AR1485" s="354"/>
      <c r="AS1485" s="354"/>
      <c r="AT1485" s="354"/>
      <c r="AU1485" s="354"/>
      <c r="AV1485" s="354"/>
      <c r="AW1485" s="354"/>
    </row>
    <row r="1486" spans="1:49">
      <c r="A1486" s="354"/>
      <c r="B1486" s="354"/>
      <c r="C1486" s="354"/>
      <c r="D1486" s="354"/>
      <c r="E1486" s="354"/>
      <c r="F1486" s="354"/>
      <c r="G1486" s="354"/>
      <c r="H1486" s="354"/>
      <c r="I1486" s="354"/>
      <c r="J1486" s="354"/>
      <c r="K1486" s="354"/>
      <c r="L1486" s="354"/>
      <c r="M1486" s="354"/>
      <c r="N1486" s="354"/>
      <c r="O1486" s="354"/>
      <c r="P1486" s="354"/>
      <c r="Q1486" s="354"/>
      <c r="R1486" s="354"/>
      <c r="S1486" s="354"/>
      <c r="T1486" s="354"/>
      <c r="U1486" s="354"/>
      <c r="V1486" s="354"/>
      <c r="W1486" s="354"/>
      <c r="X1486" s="354"/>
      <c r="Y1486" s="354"/>
      <c r="Z1486" s="354"/>
      <c r="AA1486" s="354"/>
      <c r="AB1486" s="354"/>
      <c r="AC1486" s="354"/>
      <c r="AD1486" s="354"/>
      <c r="AE1486" s="354"/>
      <c r="AF1486" s="354"/>
      <c r="AG1486" s="354"/>
      <c r="AH1486" s="354"/>
      <c r="AI1486" s="354"/>
      <c r="AJ1486" s="354"/>
      <c r="AK1486" s="354"/>
      <c r="AL1486" s="354"/>
      <c r="AM1486" s="354"/>
      <c r="AN1486" s="354"/>
      <c r="AO1486" s="354"/>
      <c r="AP1486" s="354"/>
      <c r="AQ1486" s="354"/>
      <c r="AR1486" s="354"/>
      <c r="AS1486" s="354"/>
      <c r="AT1486" s="354"/>
      <c r="AU1486" s="354"/>
      <c r="AV1486" s="354"/>
      <c r="AW1486" s="354"/>
    </row>
    <row r="1487" spans="1:49">
      <c r="A1487" s="354"/>
      <c r="B1487" s="354"/>
      <c r="C1487" s="354"/>
      <c r="D1487" s="354"/>
      <c r="E1487" s="354"/>
      <c r="F1487" s="354"/>
      <c r="G1487" s="354"/>
      <c r="H1487" s="354"/>
      <c r="I1487" s="354"/>
      <c r="J1487" s="354"/>
      <c r="K1487" s="354"/>
      <c r="L1487" s="354"/>
      <c r="M1487" s="354"/>
      <c r="N1487" s="354"/>
      <c r="O1487" s="354"/>
      <c r="P1487" s="354"/>
      <c r="Q1487" s="354"/>
      <c r="R1487" s="354"/>
      <c r="S1487" s="354"/>
      <c r="T1487" s="354"/>
      <c r="U1487" s="354"/>
      <c r="V1487" s="354"/>
      <c r="W1487" s="354"/>
      <c r="X1487" s="354"/>
      <c r="Y1487" s="354"/>
      <c r="Z1487" s="354"/>
      <c r="AA1487" s="354"/>
      <c r="AB1487" s="354"/>
      <c r="AC1487" s="354"/>
      <c r="AD1487" s="354"/>
      <c r="AE1487" s="354"/>
      <c r="AF1487" s="354"/>
      <c r="AG1487" s="354"/>
      <c r="AH1487" s="354"/>
      <c r="AI1487" s="354"/>
      <c r="AJ1487" s="354"/>
      <c r="AK1487" s="354"/>
      <c r="AL1487" s="354"/>
      <c r="AM1487" s="354"/>
      <c r="AN1487" s="354"/>
      <c r="AO1487" s="354"/>
      <c r="AP1487" s="354"/>
      <c r="AQ1487" s="354"/>
      <c r="AR1487" s="354"/>
      <c r="AS1487" s="354"/>
      <c r="AT1487" s="354"/>
      <c r="AU1487" s="354"/>
      <c r="AV1487" s="354"/>
      <c r="AW1487" s="354"/>
    </row>
    <row r="1488" spans="1:49">
      <c r="A1488" s="354"/>
      <c r="B1488" s="354"/>
      <c r="C1488" s="354"/>
      <c r="D1488" s="354"/>
      <c r="E1488" s="354"/>
      <c r="F1488" s="354"/>
      <c r="G1488" s="354"/>
      <c r="H1488" s="354"/>
      <c r="I1488" s="354"/>
      <c r="J1488" s="354"/>
      <c r="K1488" s="354"/>
      <c r="L1488" s="354"/>
      <c r="M1488" s="354"/>
      <c r="N1488" s="354"/>
      <c r="O1488" s="354"/>
      <c r="P1488" s="354"/>
      <c r="Q1488" s="354"/>
      <c r="R1488" s="354"/>
      <c r="S1488" s="354"/>
      <c r="T1488" s="354"/>
      <c r="U1488" s="354"/>
      <c r="V1488" s="354"/>
      <c r="W1488" s="354"/>
      <c r="X1488" s="354"/>
      <c r="Y1488" s="354"/>
      <c r="Z1488" s="354"/>
      <c r="AA1488" s="354"/>
      <c r="AB1488" s="354"/>
      <c r="AC1488" s="354"/>
      <c r="AD1488" s="354"/>
      <c r="AE1488" s="354"/>
      <c r="AF1488" s="354"/>
      <c r="AG1488" s="354"/>
      <c r="AH1488" s="354"/>
      <c r="AI1488" s="354"/>
      <c r="AJ1488" s="354"/>
      <c r="AK1488" s="354"/>
      <c r="AL1488" s="354"/>
      <c r="AM1488" s="354"/>
      <c r="AN1488" s="354"/>
      <c r="AO1488" s="354"/>
      <c r="AP1488" s="354"/>
      <c r="AQ1488" s="354"/>
      <c r="AR1488" s="354"/>
      <c r="AS1488" s="354"/>
      <c r="AT1488" s="354"/>
      <c r="AU1488" s="354"/>
      <c r="AV1488" s="354"/>
      <c r="AW1488" s="354"/>
    </row>
    <row r="1489" spans="1:49">
      <c r="A1489" s="354"/>
      <c r="B1489" s="354"/>
      <c r="C1489" s="354"/>
      <c r="D1489" s="354"/>
      <c r="E1489" s="354"/>
      <c r="F1489" s="354"/>
      <c r="G1489" s="354"/>
      <c r="H1489" s="354"/>
      <c r="I1489" s="354"/>
      <c r="J1489" s="354"/>
      <c r="K1489" s="354"/>
      <c r="L1489" s="354"/>
      <c r="M1489" s="354"/>
      <c r="N1489" s="354"/>
      <c r="O1489" s="354"/>
      <c r="P1489" s="354"/>
      <c r="Q1489" s="354"/>
      <c r="R1489" s="354"/>
      <c r="S1489" s="354"/>
      <c r="T1489" s="354"/>
      <c r="U1489" s="354"/>
      <c r="V1489" s="354"/>
      <c r="W1489" s="354"/>
      <c r="X1489" s="354"/>
      <c r="Y1489" s="354"/>
      <c r="Z1489" s="354"/>
      <c r="AA1489" s="354"/>
      <c r="AB1489" s="354"/>
      <c r="AC1489" s="354"/>
      <c r="AD1489" s="354"/>
      <c r="AE1489" s="354"/>
      <c r="AF1489" s="354"/>
      <c r="AG1489" s="354"/>
      <c r="AH1489" s="354"/>
      <c r="AI1489" s="354"/>
      <c r="AJ1489" s="354"/>
      <c r="AK1489" s="354"/>
      <c r="AL1489" s="354"/>
      <c r="AM1489" s="354"/>
      <c r="AN1489" s="354"/>
      <c r="AO1489" s="354"/>
      <c r="AP1489" s="354"/>
      <c r="AQ1489" s="354"/>
      <c r="AR1489" s="354"/>
      <c r="AS1489" s="354"/>
      <c r="AT1489" s="354"/>
      <c r="AU1489" s="354"/>
      <c r="AV1489" s="354"/>
      <c r="AW1489" s="354"/>
    </row>
    <row r="1490" spans="1:49">
      <c r="A1490" s="354"/>
      <c r="B1490" s="354"/>
      <c r="C1490" s="354"/>
      <c r="D1490" s="354"/>
      <c r="E1490" s="354"/>
      <c r="F1490" s="354"/>
      <c r="G1490" s="354"/>
      <c r="H1490" s="354"/>
      <c r="I1490" s="354"/>
      <c r="J1490" s="354"/>
      <c r="K1490" s="354"/>
      <c r="L1490" s="354"/>
      <c r="M1490" s="354"/>
      <c r="N1490" s="354"/>
      <c r="O1490" s="354"/>
      <c r="P1490" s="354"/>
      <c r="Q1490" s="354"/>
      <c r="R1490" s="354"/>
      <c r="S1490" s="354"/>
      <c r="T1490" s="354"/>
      <c r="U1490" s="354"/>
      <c r="V1490" s="354"/>
      <c r="W1490" s="354"/>
      <c r="X1490" s="354"/>
      <c r="Y1490" s="354"/>
      <c r="Z1490" s="354"/>
      <c r="AA1490" s="354"/>
      <c r="AB1490" s="354"/>
      <c r="AC1490" s="354"/>
      <c r="AD1490" s="354"/>
      <c r="AE1490" s="354"/>
      <c r="AF1490" s="354"/>
      <c r="AG1490" s="354"/>
      <c r="AH1490" s="354"/>
      <c r="AI1490" s="354"/>
      <c r="AJ1490" s="354"/>
      <c r="AK1490" s="354"/>
      <c r="AL1490" s="354"/>
      <c r="AM1490" s="354"/>
      <c r="AN1490" s="354"/>
      <c r="AO1490" s="354"/>
      <c r="AP1490" s="354"/>
      <c r="AQ1490" s="354"/>
      <c r="AR1490" s="354"/>
      <c r="AS1490" s="354"/>
      <c r="AT1490" s="354"/>
      <c r="AU1490" s="354"/>
      <c r="AV1490" s="354"/>
      <c r="AW1490" s="354"/>
    </row>
    <row r="1491" spans="1:49">
      <c r="A1491" s="354"/>
      <c r="B1491" s="354"/>
      <c r="C1491" s="354"/>
      <c r="D1491" s="354"/>
      <c r="E1491" s="354"/>
      <c r="F1491" s="354"/>
      <c r="G1491" s="354"/>
      <c r="H1491" s="354"/>
      <c r="I1491" s="354"/>
      <c r="J1491" s="354"/>
      <c r="K1491" s="354"/>
      <c r="L1491" s="354"/>
      <c r="M1491" s="354"/>
      <c r="N1491" s="354"/>
      <c r="O1491" s="354"/>
      <c r="P1491" s="354"/>
      <c r="Q1491" s="354"/>
      <c r="R1491" s="354"/>
      <c r="S1491" s="354"/>
      <c r="T1491" s="354"/>
      <c r="U1491" s="354"/>
      <c r="V1491" s="354"/>
      <c r="W1491" s="354"/>
      <c r="X1491" s="354"/>
      <c r="Y1491" s="354"/>
      <c r="Z1491" s="354"/>
      <c r="AA1491" s="354"/>
      <c r="AB1491" s="354"/>
      <c r="AC1491" s="354"/>
      <c r="AD1491" s="354"/>
      <c r="AE1491" s="354"/>
      <c r="AF1491" s="354"/>
      <c r="AG1491" s="354"/>
      <c r="AH1491" s="354"/>
      <c r="AI1491" s="354"/>
      <c r="AJ1491" s="354"/>
      <c r="AK1491" s="354"/>
      <c r="AL1491" s="354"/>
      <c r="AM1491" s="354"/>
      <c r="AN1491" s="354"/>
      <c r="AO1491" s="354"/>
      <c r="AP1491" s="354"/>
      <c r="AQ1491" s="354"/>
      <c r="AR1491" s="354"/>
      <c r="AS1491" s="354"/>
      <c r="AT1491" s="354"/>
      <c r="AU1491" s="354"/>
      <c r="AV1491" s="354"/>
      <c r="AW1491" s="354"/>
    </row>
    <row r="1492" spans="1:49">
      <c r="A1492" s="354"/>
      <c r="B1492" s="354"/>
      <c r="C1492" s="354"/>
      <c r="D1492" s="354"/>
      <c r="E1492" s="354"/>
      <c r="F1492" s="354"/>
      <c r="G1492" s="354"/>
      <c r="H1492" s="354"/>
      <c r="I1492" s="354"/>
      <c r="J1492" s="354"/>
      <c r="K1492" s="354"/>
      <c r="L1492" s="354"/>
      <c r="M1492" s="354"/>
      <c r="N1492" s="354"/>
      <c r="O1492" s="354"/>
      <c r="P1492" s="354"/>
      <c r="Q1492" s="354"/>
      <c r="R1492" s="354"/>
      <c r="S1492" s="354"/>
      <c r="T1492" s="354"/>
      <c r="U1492" s="354"/>
      <c r="V1492" s="354"/>
      <c r="W1492" s="354"/>
      <c r="X1492" s="354"/>
      <c r="Y1492" s="354"/>
      <c r="Z1492" s="354"/>
      <c r="AA1492" s="354"/>
      <c r="AB1492" s="354"/>
      <c r="AC1492" s="354"/>
      <c r="AD1492" s="354"/>
      <c r="AE1492" s="354"/>
      <c r="AF1492" s="354"/>
      <c r="AG1492" s="354"/>
      <c r="AH1492" s="354"/>
      <c r="AI1492" s="354"/>
      <c r="AJ1492" s="354"/>
      <c r="AK1492" s="354"/>
      <c r="AL1492" s="354"/>
      <c r="AM1492" s="354"/>
      <c r="AN1492" s="354"/>
      <c r="AO1492" s="354"/>
      <c r="AP1492" s="354"/>
      <c r="AQ1492" s="354"/>
      <c r="AR1492" s="354"/>
      <c r="AS1492" s="354"/>
      <c r="AT1492" s="354"/>
      <c r="AU1492" s="354"/>
      <c r="AV1492" s="354"/>
      <c r="AW1492" s="354"/>
    </row>
    <row r="1493" spans="1:49">
      <c r="A1493" s="354"/>
      <c r="B1493" s="354"/>
      <c r="C1493" s="354"/>
      <c r="D1493" s="354"/>
      <c r="E1493" s="354"/>
      <c r="F1493" s="354"/>
      <c r="G1493" s="354"/>
      <c r="H1493" s="354"/>
      <c r="I1493" s="354"/>
      <c r="J1493" s="354"/>
      <c r="K1493" s="354"/>
      <c r="L1493" s="354"/>
      <c r="M1493" s="354"/>
      <c r="N1493" s="354"/>
      <c r="O1493" s="354"/>
      <c r="P1493" s="354"/>
      <c r="Q1493" s="354"/>
      <c r="R1493" s="354"/>
      <c r="S1493" s="354"/>
      <c r="T1493" s="354"/>
      <c r="U1493" s="354"/>
      <c r="V1493" s="354"/>
      <c r="W1493" s="354"/>
      <c r="X1493" s="354"/>
      <c r="Y1493" s="354"/>
      <c r="Z1493" s="354"/>
      <c r="AA1493" s="354"/>
      <c r="AB1493" s="354"/>
      <c r="AC1493" s="354"/>
      <c r="AD1493" s="354"/>
      <c r="AE1493" s="354"/>
      <c r="AF1493" s="354"/>
      <c r="AG1493" s="354"/>
      <c r="AH1493" s="354"/>
      <c r="AI1493" s="354"/>
      <c r="AJ1493" s="354"/>
      <c r="AK1493" s="354"/>
      <c r="AL1493" s="354"/>
      <c r="AM1493" s="354"/>
      <c r="AN1493" s="354"/>
      <c r="AO1493" s="354"/>
      <c r="AP1493" s="354"/>
      <c r="AQ1493" s="354"/>
      <c r="AR1493" s="354"/>
      <c r="AS1493" s="354"/>
      <c r="AT1493" s="354"/>
      <c r="AU1493" s="354"/>
      <c r="AV1493" s="354"/>
      <c r="AW1493" s="354"/>
    </row>
    <row r="1494" spans="1:49">
      <c r="A1494" s="354"/>
      <c r="B1494" s="354"/>
      <c r="C1494" s="354"/>
      <c r="D1494" s="354"/>
      <c r="E1494" s="354"/>
      <c r="F1494" s="354"/>
      <c r="G1494" s="354"/>
      <c r="H1494" s="354"/>
      <c r="I1494" s="354"/>
      <c r="J1494" s="354"/>
      <c r="K1494" s="354"/>
      <c r="L1494" s="354"/>
      <c r="M1494" s="354"/>
      <c r="N1494" s="354"/>
      <c r="O1494" s="354"/>
      <c r="P1494" s="354"/>
      <c r="Q1494" s="354"/>
      <c r="R1494" s="354"/>
      <c r="S1494" s="354"/>
      <c r="T1494" s="354"/>
      <c r="U1494" s="354"/>
      <c r="V1494" s="354"/>
      <c r="W1494" s="354"/>
      <c r="X1494" s="354"/>
      <c r="Y1494" s="354"/>
      <c r="Z1494" s="354"/>
      <c r="AA1494" s="354"/>
      <c r="AB1494" s="354"/>
      <c r="AC1494" s="354"/>
      <c r="AD1494" s="354"/>
      <c r="AE1494" s="354"/>
      <c r="AF1494" s="354"/>
      <c r="AG1494" s="354"/>
      <c r="AH1494" s="354"/>
      <c r="AI1494" s="354"/>
      <c r="AJ1494" s="354"/>
      <c r="AK1494" s="354"/>
      <c r="AL1494" s="354"/>
      <c r="AM1494" s="354"/>
      <c r="AN1494" s="354"/>
      <c r="AO1494" s="354"/>
      <c r="AP1494" s="354"/>
      <c r="AQ1494" s="354"/>
      <c r="AR1494" s="354"/>
      <c r="AS1494" s="354"/>
      <c r="AT1494" s="354"/>
      <c r="AU1494" s="354"/>
      <c r="AV1494" s="354"/>
      <c r="AW1494" s="354"/>
    </row>
    <row r="1495" spans="1:49">
      <c r="A1495" s="354"/>
      <c r="B1495" s="354"/>
      <c r="C1495" s="354"/>
      <c r="D1495" s="354"/>
      <c r="E1495" s="354"/>
      <c r="F1495" s="354"/>
      <c r="G1495" s="354"/>
      <c r="H1495" s="354"/>
      <c r="I1495" s="354"/>
      <c r="J1495" s="354"/>
      <c r="K1495" s="354"/>
      <c r="L1495" s="354"/>
      <c r="M1495" s="354"/>
      <c r="N1495" s="354"/>
      <c r="O1495" s="354"/>
      <c r="P1495" s="354"/>
      <c r="Q1495" s="354"/>
      <c r="R1495" s="354"/>
      <c r="S1495" s="354"/>
      <c r="T1495" s="354"/>
      <c r="U1495" s="354"/>
      <c r="V1495" s="354"/>
      <c r="W1495" s="354"/>
      <c r="X1495" s="354"/>
      <c r="Y1495" s="354"/>
      <c r="Z1495" s="354"/>
      <c r="AA1495" s="354"/>
      <c r="AB1495" s="354"/>
      <c r="AC1495" s="354"/>
      <c r="AD1495" s="354"/>
      <c r="AE1495" s="354"/>
      <c r="AF1495" s="354"/>
      <c r="AG1495" s="354"/>
      <c r="AH1495" s="354"/>
      <c r="AI1495" s="354"/>
      <c r="AJ1495" s="354"/>
      <c r="AK1495" s="354"/>
      <c r="AL1495" s="354"/>
      <c r="AM1495" s="354"/>
      <c r="AN1495" s="354"/>
      <c r="AO1495" s="354"/>
      <c r="AP1495" s="354"/>
      <c r="AQ1495" s="354"/>
      <c r="AR1495" s="354"/>
      <c r="AS1495" s="354"/>
      <c r="AT1495" s="354"/>
      <c r="AU1495" s="354"/>
      <c r="AV1495" s="354"/>
      <c r="AW1495" s="354"/>
    </row>
    <row r="1496" spans="1:49">
      <c r="A1496" s="354"/>
      <c r="B1496" s="354"/>
      <c r="C1496" s="354"/>
      <c r="D1496" s="354"/>
      <c r="E1496" s="354"/>
      <c r="F1496" s="354"/>
      <c r="G1496" s="354"/>
      <c r="H1496" s="354"/>
      <c r="I1496" s="354"/>
      <c r="J1496" s="354"/>
      <c r="K1496" s="354"/>
      <c r="L1496" s="354"/>
      <c r="M1496" s="354"/>
      <c r="N1496" s="354"/>
      <c r="O1496" s="354"/>
      <c r="P1496" s="354"/>
      <c r="Q1496" s="354"/>
      <c r="R1496" s="354"/>
      <c r="S1496" s="354"/>
      <c r="T1496" s="354"/>
      <c r="U1496" s="354"/>
      <c r="V1496" s="354"/>
      <c r="W1496" s="354"/>
      <c r="X1496" s="354"/>
      <c r="Y1496" s="354"/>
      <c r="Z1496" s="354"/>
      <c r="AA1496" s="354"/>
      <c r="AB1496" s="354"/>
      <c r="AC1496" s="354"/>
      <c r="AD1496" s="354"/>
      <c r="AE1496" s="354"/>
      <c r="AF1496" s="354"/>
      <c r="AG1496" s="354"/>
      <c r="AH1496" s="354"/>
      <c r="AI1496" s="354"/>
      <c r="AJ1496" s="354"/>
      <c r="AK1496" s="354"/>
      <c r="AL1496" s="354"/>
      <c r="AM1496" s="354"/>
      <c r="AN1496" s="354"/>
      <c r="AO1496" s="354"/>
      <c r="AP1496" s="354"/>
      <c r="AQ1496" s="354"/>
      <c r="AR1496" s="354"/>
      <c r="AS1496" s="354"/>
      <c r="AT1496" s="354"/>
      <c r="AU1496" s="354"/>
      <c r="AV1496" s="354"/>
      <c r="AW1496" s="354"/>
    </row>
    <row r="1497" spans="1:49">
      <c r="A1497" s="354"/>
      <c r="B1497" s="354"/>
      <c r="C1497" s="354"/>
      <c r="D1497" s="354"/>
      <c r="E1497" s="354"/>
      <c r="F1497" s="354"/>
      <c r="G1497" s="354"/>
      <c r="H1497" s="354"/>
      <c r="I1497" s="354"/>
      <c r="J1497" s="354"/>
      <c r="K1497" s="354"/>
      <c r="L1497" s="354"/>
      <c r="M1497" s="354"/>
      <c r="N1497" s="354"/>
      <c r="O1497" s="354"/>
      <c r="P1497" s="354"/>
      <c r="Q1497" s="354"/>
      <c r="R1497" s="354"/>
      <c r="S1497" s="354"/>
      <c r="T1497" s="354"/>
      <c r="U1497" s="354"/>
      <c r="V1497" s="354"/>
      <c r="W1497" s="354"/>
      <c r="X1497" s="354"/>
      <c r="Y1497" s="354"/>
      <c r="Z1497" s="354"/>
      <c r="AA1497" s="354"/>
      <c r="AB1497" s="354"/>
      <c r="AC1497" s="354"/>
      <c r="AD1497" s="354"/>
      <c r="AE1497" s="354"/>
      <c r="AF1497" s="354"/>
      <c r="AG1497" s="354"/>
      <c r="AH1497" s="354"/>
      <c r="AI1497" s="354"/>
      <c r="AJ1497" s="354"/>
      <c r="AK1497" s="354"/>
      <c r="AL1497" s="354"/>
      <c r="AM1497" s="354"/>
      <c r="AN1497" s="354"/>
      <c r="AO1497" s="354"/>
      <c r="AP1497" s="354"/>
      <c r="AQ1497" s="354"/>
      <c r="AR1497" s="354"/>
      <c r="AS1497" s="354"/>
      <c r="AT1497" s="354"/>
      <c r="AU1497" s="354"/>
      <c r="AV1497" s="354"/>
      <c r="AW1497" s="354"/>
    </row>
    <row r="1498" spans="1:49">
      <c r="A1498" s="354"/>
      <c r="B1498" s="354"/>
      <c r="C1498" s="354"/>
      <c r="D1498" s="354"/>
      <c r="E1498" s="354"/>
      <c r="F1498" s="354"/>
      <c r="G1498" s="354"/>
      <c r="H1498" s="354"/>
      <c r="I1498" s="354"/>
      <c r="J1498" s="354"/>
      <c r="K1498" s="354"/>
      <c r="L1498" s="354"/>
      <c r="M1498" s="354"/>
      <c r="N1498" s="354"/>
      <c r="O1498" s="354"/>
      <c r="P1498" s="354"/>
      <c r="Q1498" s="354"/>
      <c r="R1498" s="354"/>
      <c r="S1498" s="354"/>
      <c r="T1498" s="354"/>
      <c r="U1498" s="354"/>
      <c r="V1498" s="354"/>
      <c r="W1498" s="354"/>
      <c r="X1498" s="354"/>
      <c r="Y1498" s="354"/>
      <c r="Z1498" s="354"/>
      <c r="AA1498" s="354"/>
      <c r="AB1498" s="354"/>
      <c r="AC1498" s="354"/>
      <c r="AD1498" s="354"/>
      <c r="AE1498" s="354"/>
      <c r="AF1498" s="354"/>
      <c r="AG1498" s="354"/>
      <c r="AH1498" s="354"/>
      <c r="AI1498" s="354"/>
      <c r="AJ1498" s="354"/>
      <c r="AK1498" s="354"/>
      <c r="AL1498" s="354"/>
      <c r="AM1498" s="354"/>
      <c r="AN1498" s="354"/>
      <c r="AO1498" s="354"/>
      <c r="AP1498" s="354"/>
      <c r="AQ1498" s="354"/>
      <c r="AR1498" s="354"/>
      <c r="AS1498" s="354"/>
      <c r="AT1498" s="354"/>
      <c r="AU1498" s="354"/>
      <c r="AV1498" s="354"/>
      <c r="AW1498" s="354"/>
    </row>
    <row r="1499" spans="1:49">
      <c r="A1499" s="354"/>
      <c r="B1499" s="354"/>
      <c r="C1499" s="354"/>
      <c r="D1499" s="354"/>
      <c r="E1499" s="354"/>
      <c r="F1499" s="354"/>
      <c r="G1499" s="354"/>
      <c r="H1499" s="354"/>
      <c r="I1499" s="354"/>
      <c r="J1499" s="354"/>
      <c r="K1499" s="354"/>
      <c r="L1499" s="354"/>
      <c r="M1499" s="354"/>
      <c r="N1499" s="354"/>
      <c r="O1499" s="354"/>
      <c r="P1499" s="354"/>
      <c r="Q1499" s="354"/>
      <c r="R1499" s="354"/>
      <c r="S1499" s="354"/>
      <c r="T1499" s="354"/>
      <c r="U1499" s="354"/>
      <c r="V1499" s="354"/>
      <c r="W1499" s="354"/>
      <c r="X1499" s="354"/>
      <c r="Y1499" s="354"/>
      <c r="Z1499" s="354"/>
      <c r="AA1499" s="354"/>
      <c r="AB1499" s="354"/>
      <c r="AC1499" s="354"/>
      <c r="AD1499" s="354"/>
      <c r="AE1499" s="354"/>
      <c r="AF1499" s="354"/>
      <c r="AG1499" s="354"/>
      <c r="AH1499" s="354"/>
      <c r="AI1499" s="354"/>
      <c r="AJ1499" s="354"/>
      <c r="AK1499" s="354"/>
      <c r="AL1499" s="354"/>
      <c r="AM1499" s="354"/>
      <c r="AN1499" s="354"/>
      <c r="AO1499" s="354"/>
      <c r="AP1499" s="354"/>
      <c r="AQ1499" s="354"/>
      <c r="AR1499" s="354"/>
      <c r="AS1499" s="354"/>
      <c r="AT1499" s="354"/>
      <c r="AU1499" s="354"/>
      <c r="AV1499" s="354"/>
      <c r="AW1499" s="354"/>
    </row>
    <row r="1500" spans="1:49">
      <c r="A1500" s="354"/>
      <c r="B1500" s="354"/>
      <c r="C1500" s="354"/>
      <c r="D1500" s="354"/>
      <c r="E1500" s="354"/>
      <c r="F1500" s="354"/>
      <c r="G1500" s="354"/>
      <c r="H1500" s="354"/>
      <c r="I1500" s="354"/>
      <c r="J1500" s="354"/>
      <c r="K1500" s="354"/>
      <c r="L1500" s="354"/>
      <c r="M1500" s="354"/>
      <c r="N1500" s="354"/>
      <c r="O1500" s="354"/>
      <c r="P1500" s="354"/>
      <c r="Q1500" s="354"/>
      <c r="R1500" s="354"/>
      <c r="S1500" s="354"/>
      <c r="T1500" s="354"/>
      <c r="U1500" s="354"/>
      <c r="V1500" s="354"/>
      <c r="W1500" s="354"/>
      <c r="X1500" s="354"/>
      <c r="Y1500" s="354"/>
      <c r="Z1500" s="354"/>
      <c r="AA1500" s="354"/>
      <c r="AB1500" s="354"/>
      <c r="AC1500" s="354"/>
      <c r="AD1500" s="354"/>
      <c r="AE1500" s="354"/>
      <c r="AF1500" s="354"/>
      <c r="AG1500" s="354"/>
      <c r="AH1500" s="354"/>
      <c r="AI1500" s="354"/>
      <c r="AJ1500" s="354"/>
      <c r="AK1500" s="354"/>
      <c r="AL1500" s="354"/>
      <c r="AM1500" s="354"/>
      <c r="AN1500" s="354"/>
      <c r="AO1500" s="354"/>
      <c r="AP1500" s="354"/>
      <c r="AQ1500" s="354"/>
      <c r="AR1500" s="354"/>
      <c r="AS1500" s="354"/>
      <c r="AT1500" s="354"/>
      <c r="AU1500" s="354"/>
      <c r="AV1500" s="354"/>
      <c r="AW1500" s="354"/>
    </row>
    <row r="1501" spans="1:49">
      <c r="A1501" s="354"/>
      <c r="B1501" s="354"/>
      <c r="C1501" s="354"/>
      <c r="D1501" s="354"/>
      <c r="E1501" s="354"/>
      <c r="F1501" s="354"/>
      <c r="G1501" s="354"/>
      <c r="H1501" s="354"/>
      <c r="I1501" s="354"/>
      <c r="J1501" s="354"/>
      <c r="K1501" s="354"/>
      <c r="L1501" s="354"/>
      <c r="M1501" s="354"/>
      <c r="N1501" s="354"/>
      <c r="O1501" s="354"/>
      <c r="P1501" s="354"/>
      <c r="Q1501" s="354"/>
      <c r="R1501" s="354"/>
      <c r="S1501" s="354"/>
      <c r="T1501" s="354"/>
      <c r="U1501" s="354"/>
      <c r="V1501" s="354"/>
      <c r="W1501" s="354"/>
      <c r="X1501" s="354"/>
      <c r="Y1501" s="354"/>
      <c r="Z1501" s="354"/>
      <c r="AA1501" s="354"/>
      <c r="AB1501" s="354"/>
      <c r="AC1501" s="354"/>
      <c r="AD1501" s="354"/>
      <c r="AE1501" s="354"/>
      <c r="AF1501" s="354"/>
      <c r="AG1501" s="354"/>
      <c r="AH1501" s="354"/>
      <c r="AI1501" s="354"/>
      <c r="AJ1501" s="354"/>
      <c r="AK1501" s="354"/>
      <c r="AL1501" s="354"/>
      <c r="AM1501" s="354"/>
      <c r="AN1501" s="354"/>
      <c r="AO1501" s="354"/>
      <c r="AP1501" s="354"/>
      <c r="AQ1501" s="354"/>
      <c r="AR1501" s="354"/>
      <c r="AS1501" s="354"/>
      <c r="AT1501" s="354"/>
      <c r="AU1501" s="354"/>
      <c r="AV1501" s="354"/>
      <c r="AW1501" s="354"/>
    </row>
  </sheetData>
  <sheetProtection algorithmName="SHA-512" hashValue="B7Z//ikVPA9IlpJmfljjcCu0/UL3O6ZJVL4eIbo8FMdubeqfx09HfFGE4NCPISA5G2zzv1jCGntukClTqSPd1g==" saltValue="LIMGPQpkL9wYvJzXq1doNA==" spinCount="100000" sheet="1" objects="1" scenarios="1" selectLockedCells="1"/>
  <mergeCells count="16">
    <mergeCell ref="K23:M23"/>
    <mergeCell ref="AH43:AI43"/>
    <mergeCell ref="A113:B113"/>
    <mergeCell ref="A1:R1"/>
    <mergeCell ref="L22:M22"/>
    <mergeCell ref="H21:M21"/>
    <mergeCell ref="C43:F43"/>
    <mergeCell ref="G43:J43"/>
    <mergeCell ref="A118:B118"/>
    <mergeCell ref="A119:B119"/>
    <mergeCell ref="A120:B120"/>
    <mergeCell ref="K43:N43"/>
    <mergeCell ref="A111:B111"/>
    <mergeCell ref="H109:N109"/>
    <mergeCell ref="B90:E90"/>
    <mergeCell ref="A116:B116"/>
  </mergeCells>
  <phoneticPr fontId="5" type="noConversion"/>
  <conditionalFormatting sqref="H23:J23">
    <cfRule type="expression" dxfId="112" priority="195">
      <formula>H22=3</formula>
    </cfRule>
    <cfRule type="expression" dxfId="111" priority="196">
      <formula>H22=4</formula>
    </cfRule>
    <cfRule type="expression" dxfId="110" priority="197">
      <formula>H22=2</formula>
    </cfRule>
    <cfRule type="expression" dxfId="109" priority="198">
      <formula>H22=1</formula>
    </cfRule>
    <cfRule type="expression" dxfId="108" priority="199">
      <formula>H22=0</formula>
    </cfRule>
  </conditionalFormatting>
  <conditionalFormatting sqref="A24 A28">
    <cfRule type="expression" dxfId="107" priority="242">
      <formula>B24&lt;&gt;0</formula>
    </cfRule>
  </conditionalFormatting>
  <conditionalFormatting sqref="D25">
    <cfRule type="expression" dxfId="106" priority="243">
      <formula>$B$24=0</formula>
    </cfRule>
  </conditionalFormatting>
  <conditionalFormatting sqref="G65:G84">
    <cfRule type="expression" dxfId="105" priority="120">
      <formula>CityBasis=0</formula>
    </cfRule>
  </conditionalFormatting>
  <conditionalFormatting sqref="C24">
    <cfRule type="expression" dxfId="104" priority="113">
      <formula>$B$24&lt;&gt;0</formula>
    </cfRule>
  </conditionalFormatting>
  <conditionalFormatting sqref="C28">
    <cfRule type="expression" dxfId="103" priority="112">
      <formula>$B$28&lt;&gt;0</formula>
    </cfRule>
  </conditionalFormatting>
  <conditionalFormatting sqref="H25:J41">
    <cfRule type="expression" dxfId="102" priority="110">
      <formula>H25&lt;0</formula>
    </cfRule>
  </conditionalFormatting>
  <conditionalFormatting sqref="C118:C120">
    <cfRule type="expression" dxfId="101" priority="91">
      <formula>CityBasis=0</formula>
    </cfRule>
  </conditionalFormatting>
  <conditionalFormatting sqref="D150:M150">
    <cfRule type="expression" dxfId="100" priority="88">
      <formula>AND(D150&lt;&gt;0,CityBasis=1)</formula>
    </cfRule>
    <cfRule type="expression" dxfId="99" priority="89">
      <formula>CityBasis=0</formula>
    </cfRule>
  </conditionalFormatting>
  <conditionalFormatting sqref="D158:M158">
    <cfRule type="expression" dxfId="98" priority="87">
      <formula>CityBasis=0</formula>
    </cfRule>
  </conditionalFormatting>
  <conditionalFormatting sqref="D159:M159">
    <cfRule type="expression" dxfId="97" priority="86">
      <formula>AND(D159&lt;&gt;0,CityBasis=1)</formula>
    </cfRule>
  </conditionalFormatting>
  <conditionalFormatting sqref="D169:M169">
    <cfRule type="expression" dxfId="96" priority="85">
      <formula>CityBasis=0</formula>
    </cfRule>
  </conditionalFormatting>
  <conditionalFormatting sqref="D170:M171 E180 H180:M180">
    <cfRule type="expression" dxfId="95" priority="84">
      <formula>AND(D170&lt;&gt;0,CityBasis=1)</formula>
    </cfRule>
  </conditionalFormatting>
  <conditionalFormatting sqref="D150:G150">
    <cfRule type="expression" dxfId="94" priority="83">
      <formula>D150="Unequal"</formula>
    </cfRule>
  </conditionalFormatting>
  <conditionalFormatting sqref="D159:G159">
    <cfRule type="expression" dxfId="93" priority="82">
      <formula>CityBasis=0</formula>
    </cfRule>
  </conditionalFormatting>
  <conditionalFormatting sqref="D159:G159">
    <cfRule type="expression" dxfId="92" priority="81">
      <formula>AND(D159&lt;&gt;0,CityBasis=1)</formula>
    </cfRule>
  </conditionalFormatting>
  <conditionalFormatting sqref="D159:G159">
    <cfRule type="expression" dxfId="91" priority="80">
      <formula>D159="Unequal"</formula>
    </cfRule>
  </conditionalFormatting>
  <conditionalFormatting sqref="D170:G171 E180">
    <cfRule type="expression" dxfId="90" priority="79">
      <formula>CityBasis=0</formula>
    </cfRule>
  </conditionalFormatting>
  <conditionalFormatting sqref="D170:G171 E180">
    <cfRule type="expression" dxfId="89" priority="78">
      <formula>AND(D170&lt;&gt;0,CityBasis=1)</formula>
    </cfRule>
  </conditionalFormatting>
  <conditionalFormatting sqref="D170:G171 E180">
    <cfRule type="expression" dxfId="88" priority="77">
      <formula>D170="Unequal"</formula>
    </cfRule>
  </conditionalFormatting>
  <conditionalFormatting sqref="A34">
    <cfRule type="expression" dxfId="87" priority="73">
      <formula>$B$34&lt;&gt;0</formula>
    </cfRule>
  </conditionalFormatting>
  <conditionalFormatting sqref="A29">
    <cfRule type="expression" dxfId="86" priority="72">
      <formula>B29&lt;&gt;0</formula>
    </cfRule>
  </conditionalFormatting>
  <conditionalFormatting sqref="C29">
    <cfRule type="expression" dxfId="85" priority="70">
      <formula>$D$29&lt;&gt;0</formula>
    </cfRule>
    <cfRule type="expression" dxfId="84" priority="71">
      <formula>$B$28&lt;&gt;0</formula>
    </cfRule>
  </conditionalFormatting>
  <conditionalFormatting sqref="D182:E183">
    <cfRule type="expression" dxfId="83" priority="63">
      <formula>CityBasis=0</formula>
    </cfRule>
  </conditionalFormatting>
  <conditionalFormatting sqref="M94:M99">
    <cfRule type="expression" dxfId="82" priority="61">
      <formula>Bud_Calc=1</formula>
    </cfRule>
  </conditionalFormatting>
  <conditionalFormatting sqref="D131:M133">
    <cfRule type="expression" dxfId="81" priority="362">
      <formula>$C$111=0</formula>
    </cfRule>
  </conditionalFormatting>
  <conditionalFormatting sqref="D138:M140">
    <cfRule type="expression" dxfId="80" priority="364">
      <formula>$C$113=0</formula>
    </cfRule>
  </conditionalFormatting>
  <conditionalFormatting sqref="H119:N119">
    <cfRule type="expression" dxfId="79" priority="371">
      <formula>$C$118=1</formula>
    </cfRule>
  </conditionalFormatting>
  <conditionalFormatting sqref="H120:N120">
    <cfRule type="expression" dxfId="78" priority="372">
      <formula>$C$119=1</formula>
    </cfRule>
  </conditionalFormatting>
  <conditionalFormatting sqref="H121:N121">
    <cfRule type="expression" dxfId="77" priority="373">
      <formula>$C$120=1</formula>
    </cfRule>
  </conditionalFormatting>
  <conditionalFormatting sqref="H111:I111">
    <cfRule type="expression" dxfId="76" priority="374">
      <formula>$C$111=1</formula>
    </cfRule>
  </conditionalFormatting>
  <conditionalFormatting sqref="A111:B111 A113:B113 A118:A120">
    <cfRule type="expression" dxfId="75" priority="377">
      <formula>AND(CityBasis=1,C111=1)</formula>
    </cfRule>
  </conditionalFormatting>
  <conditionalFormatting sqref="H111 H118 H115:H116">
    <cfRule type="expression" dxfId="74" priority="60">
      <formula>Bud_Calc=0</formula>
    </cfRule>
  </conditionalFormatting>
  <conditionalFormatting sqref="H118:H121">
    <cfRule type="expression" dxfId="73" priority="59">
      <formula>Bud_Calc=0</formula>
    </cfRule>
  </conditionalFormatting>
  <conditionalFormatting sqref="K25:M41">
    <cfRule type="expression" dxfId="72" priority="58">
      <formula>K25&lt;0</formula>
    </cfRule>
  </conditionalFormatting>
  <conditionalFormatting sqref="D144:M148">
    <cfRule type="expression" dxfId="71" priority="30">
      <formula>$C$118=0</formula>
    </cfRule>
  </conditionalFormatting>
  <conditionalFormatting sqref="D162:M168">
    <cfRule type="expression" dxfId="70" priority="32">
      <formula>$C$120=0</formula>
    </cfRule>
  </conditionalFormatting>
  <conditionalFormatting sqref="F182:M183">
    <cfRule type="expression" dxfId="69" priority="42">
      <formula>CityBasis=0</formula>
    </cfRule>
  </conditionalFormatting>
  <conditionalFormatting sqref="F182:M183">
    <cfRule type="expression" dxfId="68" priority="41">
      <formula>AND(F182&lt;&gt;0,CityBasis=1)</formula>
    </cfRule>
  </conditionalFormatting>
  <conditionalFormatting sqref="F182:M183">
    <cfRule type="expression" dxfId="67" priority="40">
      <formula>CityBasis=0</formula>
    </cfRule>
  </conditionalFormatting>
  <conditionalFormatting sqref="F182:M183">
    <cfRule type="expression" dxfId="66" priority="39">
      <formula>F182&lt;&gt;0</formula>
    </cfRule>
  </conditionalFormatting>
  <conditionalFormatting sqref="A32">
    <cfRule type="expression" dxfId="65" priority="378">
      <formula>D32&lt;&gt;0</formula>
    </cfRule>
  </conditionalFormatting>
  <conditionalFormatting sqref="M101:M105">
    <cfRule type="expression" dxfId="64" priority="34">
      <formula>Bud_Calc=1</formula>
    </cfRule>
  </conditionalFormatting>
  <conditionalFormatting sqref="D134:M134">
    <cfRule type="expression" dxfId="63" priority="33">
      <formula>$C$111=0</formula>
    </cfRule>
  </conditionalFormatting>
  <conditionalFormatting sqref="J107:N107">
    <cfRule type="expression" dxfId="62" priority="379">
      <formula>C106&lt;&gt;J106</formula>
    </cfRule>
  </conditionalFormatting>
  <conditionalFormatting sqref="J107:N107">
    <cfRule type="expression" dxfId="61" priority="380">
      <formula>C106=J106</formula>
    </cfRule>
  </conditionalFormatting>
  <conditionalFormatting sqref="N94:N95">
    <cfRule type="expression" dxfId="60" priority="29">
      <formula>CityBasis=0</formula>
    </cfRule>
  </conditionalFormatting>
  <conditionalFormatting sqref="N96">
    <cfRule type="expression" dxfId="59" priority="28">
      <formula>CityBasis=0</formula>
    </cfRule>
  </conditionalFormatting>
  <conditionalFormatting sqref="N97">
    <cfRule type="expression" dxfId="58" priority="27">
      <formula>CityBasis=0</formula>
    </cfRule>
  </conditionalFormatting>
  <conditionalFormatting sqref="N98">
    <cfRule type="expression" dxfId="57" priority="26">
      <formula>CityBasis=0</formula>
    </cfRule>
  </conditionalFormatting>
  <conditionalFormatting sqref="N99">
    <cfRule type="expression" dxfId="56" priority="25">
      <formula>CityBasis=0</formula>
    </cfRule>
  </conditionalFormatting>
  <conditionalFormatting sqref="N101:N102">
    <cfRule type="expression" dxfId="55" priority="24">
      <formula>CityBasis=0</formula>
    </cfRule>
  </conditionalFormatting>
  <conditionalFormatting sqref="N105">
    <cfRule type="expression" dxfId="54" priority="23">
      <formula>CityBasis=0</formula>
    </cfRule>
  </conditionalFormatting>
  <conditionalFormatting sqref="F98:F105">
    <cfRule type="expression" dxfId="53" priority="22">
      <formula>Bud_Calc=1</formula>
    </cfRule>
  </conditionalFormatting>
  <conditionalFormatting sqref="N103">
    <cfRule type="expression" dxfId="52" priority="21">
      <formula>CityBasis=0</formula>
    </cfRule>
  </conditionalFormatting>
  <conditionalFormatting sqref="N104">
    <cfRule type="expression" dxfId="51" priority="20">
      <formula>CityBasis=0</formula>
    </cfRule>
  </conditionalFormatting>
  <conditionalFormatting sqref="G98:G105 N94:N105">
    <cfRule type="expression" dxfId="50" priority="19">
      <formula>$F$94=0</formula>
    </cfRule>
  </conditionalFormatting>
  <conditionalFormatting sqref="N106:N107">
    <cfRule type="expression" dxfId="49" priority="18">
      <formula>$F$94=0</formula>
    </cfRule>
  </conditionalFormatting>
  <conditionalFormatting sqref="G106">
    <cfRule type="expression" dxfId="48" priority="17">
      <formula>$F$94=0</formula>
    </cfRule>
  </conditionalFormatting>
  <conditionalFormatting sqref="A162:C168">
    <cfRule type="expression" dxfId="47" priority="15">
      <formula>$C$120=0</formula>
    </cfRule>
  </conditionalFormatting>
  <conditionalFormatting sqref="B153:C157">
    <cfRule type="expression" dxfId="46" priority="13">
      <formula>$C$119=0</formula>
    </cfRule>
    <cfRule type="expression" dxfId="45" priority="14">
      <formula>B153&lt;&gt;0</formula>
    </cfRule>
  </conditionalFormatting>
  <conditionalFormatting sqref="A144:C148">
    <cfRule type="expression" dxfId="44" priority="11">
      <formula>$C$118=0</formula>
    </cfRule>
  </conditionalFormatting>
  <conditionalFormatting sqref="K23:M23">
    <cfRule type="expression" dxfId="43" priority="382">
      <formula>AND(Loss22&lt;&gt;0,$K$22=2)</formula>
    </cfRule>
    <cfRule type="expression" dxfId="42" priority="383">
      <formula>AND(Loss21&lt;&gt;0,Loss22&lt;&gt;0,$K$22=0)</formula>
    </cfRule>
    <cfRule type="expression" dxfId="41" priority="384">
      <formula>AND(Loss22&lt;&gt;0,$K$22=3)</formula>
    </cfRule>
    <cfRule type="expression" dxfId="40" priority="385">
      <formula>AND(Loss22&lt;&gt;0,$K$22=1)</formula>
    </cfRule>
    <cfRule type="expression" dxfId="39" priority="386">
      <formula>AND(Loss22=0,$K$22=0)</formula>
    </cfRule>
  </conditionalFormatting>
  <conditionalFormatting sqref="M18">
    <cfRule type="expression" dxfId="38" priority="10">
      <formula>$M$18&lt;&gt;""</formula>
    </cfRule>
  </conditionalFormatting>
  <conditionalFormatting sqref="N103:N104">
    <cfRule type="expression" dxfId="37" priority="9">
      <formula>CityBasis=0</formula>
    </cfRule>
  </conditionalFormatting>
  <conditionalFormatting sqref="A153:A157">
    <cfRule type="expression" dxfId="36" priority="8">
      <formula>$C$118=0</formula>
    </cfRule>
  </conditionalFormatting>
  <conditionalFormatting sqref="D153:M157">
    <cfRule type="expression" dxfId="35" priority="7">
      <formula>$C$118=0</formula>
    </cfRule>
  </conditionalFormatting>
  <conditionalFormatting sqref="D26">
    <cfRule type="expression" dxfId="34" priority="6">
      <formula>$B$24=0</formula>
    </cfRule>
  </conditionalFormatting>
  <conditionalFormatting sqref="H117">
    <cfRule type="expression" dxfId="33" priority="5">
      <formula>Bud_Calc=0</formula>
    </cfRule>
  </conditionalFormatting>
  <conditionalFormatting sqref="H112:N114">
    <cfRule type="expression" dxfId="32" priority="4">
      <formula>$C$118=1</formula>
    </cfRule>
  </conditionalFormatting>
  <conditionalFormatting sqref="H112:N114">
    <cfRule type="expression" dxfId="31" priority="3">
      <formula>Bud_Calc=0</formula>
    </cfRule>
  </conditionalFormatting>
  <conditionalFormatting sqref="A116:B116">
    <cfRule type="expression" dxfId="30" priority="2">
      <formula>AND(CityBasis=1,C116=1)</formula>
    </cfRule>
  </conditionalFormatting>
  <conditionalFormatting sqref="C116">
    <cfRule type="expression" dxfId="29" priority="1">
      <formula>$C$111=1</formula>
    </cfRule>
  </conditionalFormatting>
  <dataValidations count="7">
    <dataValidation type="decimal" operator="greaterThanOrEqual" allowBlank="1" showInputMessage="1" showErrorMessage="1" sqref="B28:B29 B24 D29 D32 B34" xr:uid="{00000000-0002-0000-0200-000000000000}">
      <formula1>0</formula1>
    </dataValidation>
    <dataValidation type="whole" allowBlank="1" showInputMessage="1" showErrorMessage="1" sqref="AJ43 K22" xr:uid="{00000000-0002-0000-0200-000001000000}">
      <formula1>0</formula1>
      <formula2>3</formula2>
    </dataValidation>
    <dataValidation type="whole" allowBlank="1" showInputMessage="1" showErrorMessage="1" sqref="AE43:AG43 H22:J22" xr:uid="{00000000-0002-0000-0200-000002000000}">
      <formula1>0</formula1>
      <formula2>4</formula2>
    </dataValidation>
    <dataValidation type="whole" allowBlank="1" showInputMessage="1" showErrorMessage="1" sqref="C118:C120 C113 C111" xr:uid="{00000000-0002-0000-0200-000003000000}">
      <formula1>0</formula1>
      <formula2>1</formula2>
    </dataValidation>
    <dataValidation type="whole" operator="greaterThan" allowBlank="1" showInputMessage="1" showErrorMessage="1" sqref="D24 D28" xr:uid="{00000000-0002-0000-0200-000004000000}">
      <formula1>19</formula1>
    </dataValidation>
    <dataValidation type="decimal" operator="lessThanOrEqual" allowBlank="1" showInputMessage="1" showErrorMessage="1" sqref="D22" xr:uid="{00000000-0002-0000-0200-000005000000}">
      <formula1>0</formula1>
    </dataValidation>
    <dataValidation type="decimal" allowBlank="1" showInputMessage="1" showErrorMessage="1" sqref="D25:D26" xr:uid="{00000000-0002-0000-0200-000006000000}">
      <formula1>0</formula1>
      <formula2>1</formula2>
    </dataValidation>
  </dataValidations>
  <pageMargins left="0.65" right="0.5" top="0.7" bottom="0.5" header="0.35" footer="0.25"/>
  <pageSetup scale="55" fitToHeight="2" orientation="landscape" r:id="rId1"/>
  <headerFooter>
    <oddHeader>&amp;C&amp;"-,Bold"&amp;14MANAGEMENT PARTNERS' COVID-19 FISCAL DIAGNOSTIC TOOL</oddHeader>
    <oddFooter>&amp;L&amp;12Management Partners&amp;R&amp;12&amp;D-&amp;T</oddFooter>
  </headerFooter>
  <ignoredErrors>
    <ignoredError sqref="J18:K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358" r:id="rId4" name="Button 262">
              <controlPr defaultSize="0" print="0" autoFill="0" autoPict="0" macro="[0]!FY21SevereGrow">
                <anchor moveWithCells="1" sizeWithCells="1">
                  <from>
                    <xdr:col>7</xdr:col>
                    <xdr:colOff>441960</xdr:colOff>
                    <xdr:row>41</xdr:row>
                    <xdr:rowOff>7620</xdr:rowOff>
                  </from>
                  <to>
                    <xdr:col>8</xdr:col>
                    <xdr:colOff>563880</xdr:colOff>
                    <xdr:row>41</xdr:row>
                    <xdr:rowOff>175260</xdr:rowOff>
                  </to>
                </anchor>
              </controlPr>
            </control>
          </mc:Choice>
        </mc:AlternateContent>
        <mc:AlternateContent xmlns:mc="http://schemas.openxmlformats.org/markup-compatibility/2006">
          <mc:Choice Requires="x14">
            <control shapeId="4359" r:id="rId5" name="Button 263">
              <controlPr defaultSize="0" print="0" autoFill="0" autoPict="0" macro="[0]!FY21SevereReduce">
                <anchor moveWithCells="1" sizeWithCells="1">
                  <from>
                    <xdr:col>8</xdr:col>
                    <xdr:colOff>670560</xdr:colOff>
                    <xdr:row>41</xdr:row>
                    <xdr:rowOff>22860</xdr:rowOff>
                  </from>
                  <to>
                    <xdr:col>9</xdr:col>
                    <xdr:colOff>792480</xdr:colOff>
                    <xdr:row>41</xdr:row>
                    <xdr:rowOff>175260</xdr:rowOff>
                  </to>
                </anchor>
              </controlPr>
            </control>
          </mc:Choice>
        </mc:AlternateContent>
        <mc:AlternateContent xmlns:mc="http://schemas.openxmlformats.org/markup-compatibility/2006">
          <mc:Choice Requires="x14">
            <control shapeId="4360" r:id="rId6" name="Button 264">
              <controlPr defaultSize="0" print="0" autoFill="0" autoPict="0" macro="[0]!FY22SevereGrow">
                <anchor moveWithCells="1" sizeWithCells="1">
                  <from>
                    <xdr:col>11</xdr:col>
                    <xdr:colOff>441960</xdr:colOff>
                    <xdr:row>41</xdr:row>
                    <xdr:rowOff>7620</xdr:rowOff>
                  </from>
                  <to>
                    <xdr:col>12</xdr:col>
                    <xdr:colOff>556260</xdr:colOff>
                    <xdr:row>41</xdr:row>
                    <xdr:rowOff>175260</xdr:rowOff>
                  </to>
                </anchor>
              </controlPr>
            </control>
          </mc:Choice>
        </mc:AlternateContent>
        <mc:AlternateContent xmlns:mc="http://schemas.openxmlformats.org/markup-compatibility/2006">
          <mc:Choice Requires="x14">
            <control shapeId="4361" r:id="rId7" name="Button 265">
              <controlPr defaultSize="0" print="0" autoFill="0" autoPict="0" macro="[0]!FY22SevereReduce">
                <anchor moveWithCells="1" sizeWithCells="1">
                  <from>
                    <xdr:col>12</xdr:col>
                    <xdr:colOff>670560</xdr:colOff>
                    <xdr:row>41</xdr:row>
                    <xdr:rowOff>7620</xdr:rowOff>
                  </from>
                  <to>
                    <xdr:col>13</xdr:col>
                    <xdr:colOff>792480</xdr:colOff>
                    <xdr:row>41</xdr:row>
                    <xdr:rowOff>175260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CCC"/>
    <pageSetUpPr fitToPage="1"/>
  </sheetPr>
  <dimension ref="A1:T236"/>
  <sheetViews>
    <sheetView workbookViewId="0">
      <selection activeCell="B7" sqref="B7"/>
    </sheetView>
  </sheetViews>
  <sheetFormatPr defaultColWidth="8.88671875" defaultRowHeight="14.4"/>
  <cols>
    <col min="1" max="1" width="30.6640625" style="264" customWidth="1"/>
    <col min="2" max="10" width="11.6640625" style="264" customWidth="1"/>
    <col min="11" max="11" width="33.6640625" style="264" bestFit="1" customWidth="1"/>
    <col min="12" max="12" width="11.6640625" style="264" customWidth="1"/>
    <col min="13" max="14" width="12.88671875" style="264" bestFit="1" customWidth="1"/>
    <col min="15" max="16384" width="8.88671875" style="264"/>
  </cols>
  <sheetData>
    <row r="1" spans="1:18" s="377" customFormat="1" ht="31.95" customHeight="1">
      <c r="A1" s="635" t="str">
        <f>Contact!A10</f>
        <v>This Fiscal Diagnostic Tool is the intellectual property of Management Partners, intended for the sole and exclusive use of the City of Kenmore, WA. Any redistribution of this model to anyone outside of the City of Kenmore, WA, without the expressed written consent of Management Partners, is strictly prohibited.  © 2020 Management Partners</v>
      </c>
      <c r="B1" s="635"/>
      <c r="C1" s="635"/>
      <c r="D1" s="635"/>
      <c r="E1" s="635"/>
      <c r="F1" s="635"/>
      <c r="G1" s="635"/>
      <c r="H1" s="635"/>
      <c r="I1" s="635"/>
      <c r="J1" s="635"/>
      <c r="K1" s="635"/>
      <c r="L1" s="635"/>
      <c r="M1" s="635"/>
      <c r="N1" s="635"/>
      <c r="O1" s="635"/>
      <c r="P1" s="635"/>
      <c r="Q1" s="635"/>
      <c r="R1" s="635"/>
    </row>
    <row r="2" spans="1:18" s="377" customFormat="1"/>
    <row r="3" spans="1:18" ht="15.6">
      <c r="A3" s="398" t="s">
        <v>239</v>
      </c>
    </row>
    <row r="4" spans="1:18" ht="15" thickBot="1"/>
    <row r="5" spans="1:18" ht="16.2">
      <c r="A5" s="399" t="s">
        <v>240</v>
      </c>
      <c r="B5" s="400" t="s">
        <v>144</v>
      </c>
      <c r="C5" s="400" t="s">
        <v>144</v>
      </c>
      <c r="D5" s="400" t="s">
        <v>203</v>
      </c>
      <c r="E5" s="400" t="s">
        <v>203</v>
      </c>
      <c r="F5" s="401" t="s">
        <v>202</v>
      </c>
    </row>
    <row r="6" spans="1:18">
      <c r="A6" s="402" t="s">
        <v>85</v>
      </c>
      <c r="B6" s="403" t="s">
        <v>367</v>
      </c>
      <c r="C6" s="404" t="s">
        <v>368</v>
      </c>
      <c r="D6" s="404" t="s">
        <v>361</v>
      </c>
      <c r="E6" s="404" t="s">
        <v>362</v>
      </c>
      <c r="F6" s="405" t="s">
        <v>133</v>
      </c>
    </row>
    <row r="7" spans="1:18">
      <c r="A7" s="545" t="s">
        <v>0</v>
      </c>
      <c r="B7" s="187">
        <v>4.8233860000000002</v>
      </c>
      <c r="C7" s="187">
        <v>5.0508639999999998</v>
      </c>
      <c r="D7" s="187">
        <v>5.3040000000000003</v>
      </c>
      <c r="E7" s="189">
        <v>0</v>
      </c>
      <c r="F7" s="184">
        <v>1.4999999999999999E-2</v>
      </c>
    </row>
    <row r="8" spans="1:18">
      <c r="A8" s="545" t="s">
        <v>110</v>
      </c>
      <c r="B8" s="187">
        <v>3.1167539999999998</v>
      </c>
      <c r="C8" s="187">
        <v>3.493528</v>
      </c>
      <c r="D8" s="187">
        <v>3.5979999999999999</v>
      </c>
      <c r="E8" s="189">
        <v>0</v>
      </c>
      <c r="F8" s="184">
        <v>0.03</v>
      </c>
    </row>
    <row r="9" spans="1:18">
      <c r="A9" s="545" t="s">
        <v>372</v>
      </c>
      <c r="B9" s="187">
        <v>0</v>
      </c>
      <c r="C9" s="187">
        <v>0</v>
      </c>
      <c r="D9" s="187">
        <v>0</v>
      </c>
      <c r="E9" s="189">
        <v>0</v>
      </c>
      <c r="F9" s="184">
        <v>0.03</v>
      </c>
    </row>
    <row r="10" spans="1:18">
      <c r="A10" s="545" t="s">
        <v>373</v>
      </c>
      <c r="B10" s="187">
        <v>1.13351</v>
      </c>
      <c r="C10" s="187">
        <v>1.0299750000000001</v>
      </c>
      <c r="D10" s="187">
        <v>1.239355</v>
      </c>
      <c r="E10" s="189">
        <v>0</v>
      </c>
      <c r="F10" s="184">
        <v>0.02</v>
      </c>
    </row>
    <row r="11" spans="1:18">
      <c r="A11" s="545" t="s">
        <v>374</v>
      </c>
      <c r="B11" s="187">
        <v>2.4156E-2</v>
      </c>
      <c r="C11" s="187">
        <v>2.1073000000000001E-2</v>
      </c>
      <c r="D11" s="187">
        <v>1.9434E-2</v>
      </c>
      <c r="E11" s="189">
        <v>0</v>
      </c>
      <c r="F11" s="184">
        <v>0.03</v>
      </c>
    </row>
    <row r="12" spans="1:18">
      <c r="A12" s="545" t="s">
        <v>375</v>
      </c>
      <c r="B12" s="187">
        <f>0.080715+0.00108</f>
        <v>8.1794999999999993E-2</v>
      </c>
      <c r="C12" s="187">
        <f>0.101332+0.001106</f>
        <v>0.102438</v>
      </c>
      <c r="D12" s="187">
        <f>0.071+0.001</f>
        <v>7.1999999999999995E-2</v>
      </c>
      <c r="E12" s="189">
        <v>0</v>
      </c>
      <c r="F12" s="184">
        <v>0.01</v>
      </c>
    </row>
    <row r="13" spans="1:18">
      <c r="A13" s="545" t="s">
        <v>376</v>
      </c>
      <c r="B13" s="187">
        <v>0.32154100000000002</v>
      </c>
      <c r="C13" s="187">
        <v>0.31985599999999997</v>
      </c>
      <c r="D13" s="187">
        <v>0.3135</v>
      </c>
      <c r="E13" s="189">
        <v>0</v>
      </c>
      <c r="F13" s="184">
        <v>-0.02</v>
      </c>
    </row>
    <row r="14" spans="1:18">
      <c r="A14" s="545" t="s">
        <v>377</v>
      </c>
      <c r="B14" s="187">
        <v>0.54818599999999995</v>
      </c>
      <c r="C14" s="187">
        <v>0.55501599999999995</v>
      </c>
      <c r="D14" s="187">
        <v>0.58298000000000005</v>
      </c>
      <c r="E14" s="189">
        <v>0</v>
      </c>
      <c r="F14" s="184">
        <v>0.02</v>
      </c>
    </row>
    <row r="15" spans="1:18">
      <c r="A15" s="545" t="s">
        <v>382</v>
      </c>
      <c r="B15" s="187">
        <f>0.03475+0.025+0.191863</f>
        <v>0.25161300000000003</v>
      </c>
      <c r="C15" s="187">
        <f>0.031125+0.03125+0.100761</f>
        <v>0.163136</v>
      </c>
      <c r="D15" s="187">
        <f>0.687493+0.03+0.076</f>
        <v>0.793493</v>
      </c>
      <c r="E15" s="189">
        <v>0</v>
      </c>
      <c r="F15" s="184">
        <v>0</v>
      </c>
    </row>
    <row r="16" spans="1:18">
      <c r="A16" s="545" t="s">
        <v>106</v>
      </c>
      <c r="B16" s="187">
        <f>0.399609-B12-B15</f>
        <v>6.6200999999999954E-2</v>
      </c>
      <c r="C16" s="187">
        <f>0.33123-C15-C12</f>
        <v>6.565600000000002E-2</v>
      </c>
      <c r="D16" s="187">
        <f>0.882515-D15-D12</f>
        <v>1.7022000000000051E-2</v>
      </c>
      <c r="E16" s="189">
        <v>0</v>
      </c>
      <c r="F16" s="184">
        <v>0</v>
      </c>
    </row>
    <row r="17" spans="1:14">
      <c r="A17" s="545" t="s">
        <v>108</v>
      </c>
      <c r="B17" s="187">
        <v>0.53071100000000004</v>
      </c>
      <c r="C17" s="187">
        <v>0.49243700000000001</v>
      </c>
      <c r="D17" s="187">
        <v>0.51041400000000003</v>
      </c>
      <c r="E17" s="189">
        <v>0</v>
      </c>
      <c r="F17" s="184">
        <v>0</v>
      </c>
    </row>
    <row r="18" spans="1:14">
      <c r="A18" s="545" t="s">
        <v>3</v>
      </c>
      <c r="B18" s="187">
        <v>3.0911000000000001E-2</v>
      </c>
      <c r="C18" s="187">
        <v>9.9799999999999993E-3</v>
      </c>
      <c r="D18" s="187">
        <v>1.0212000000000001E-2</v>
      </c>
      <c r="E18" s="189">
        <v>0</v>
      </c>
      <c r="F18" s="184">
        <v>0</v>
      </c>
    </row>
    <row r="19" spans="1:14">
      <c r="A19" s="545" t="s">
        <v>378</v>
      </c>
      <c r="B19" s="187">
        <f>1.289838-B20-B21-B11</f>
        <v>1.3190000000000101E-2</v>
      </c>
      <c r="C19" s="187">
        <f>1.031455-C20-C21-C11</f>
        <v>9.7559999999999938E-3</v>
      </c>
      <c r="D19" s="187">
        <f>0.935161-D20-D21-D11</f>
        <v>1.4849000000000064E-2</v>
      </c>
      <c r="E19" s="189">
        <v>0</v>
      </c>
      <c r="F19" s="184">
        <v>0</v>
      </c>
    </row>
    <row r="20" spans="1:14">
      <c r="A20" s="545" t="s">
        <v>107</v>
      </c>
      <c r="B20" s="187">
        <v>1.2524919999999999</v>
      </c>
      <c r="C20" s="187">
        <v>1.000626</v>
      </c>
      <c r="D20" s="187">
        <v>0.90087799999999996</v>
      </c>
      <c r="E20" s="189">
        <v>0</v>
      </c>
      <c r="F20" s="184">
        <v>0</v>
      </c>
    </row>
    <row r="21" spans="1:14">
      <c r="A21" s="545" t="s">
        <v>2</v>
      </c>
      <c r="B21" s="187">
        <v>0</v>
      </c>
      <c r="C21" s="187">
        <v>0</v>
      </c>
      <c r="D21" s="187">
        <v>0</v>
      </c>
      <c r="E21" s="189">
        <v>0</v>
      </c>
      <c r="F21" s="184">
        <v>0</v>
      </c>
    </row>
    <row r="22" spans="1:14">
      <c r="A22" s="545" t="s">
        <v>379</v>
      </c>
      <c r="B22" s="187">
        <v>1.555E-3</v>
      </c>
      <c r="C22" s="187">
        <v>1.27E-4</v>
      </c>
      <c r="D22" s="187">
        <v>0</v>
      </c>
      <c r="E22" s="189">
        <v>0</v>
      </c>
      <c r="F22" s="184">
        <v>0</v>
      </c>
    </row>
    <row r="23" spans="1:14">
      <c r="A23" s="545" t="s">
        <v>71</v>
      </c>
      <c r="B23" s="187">
        <f>0.074371+0.003961</f>
        <v>7.8332000000000013E-2</v>
      </c>
      <c r="C23" s="187">
        <f>0.08108+0.00602</f>
        <v>8.7099999999999997E-2</v>
      </c>
      <c r="D23" s="187">
        <f>0.0455+0.0024</f>
        <v>4.7899999999999998E-2</v>
      </c>
      <c r="E23" s="189">
        <v>0</v>
      </c>
      <c r="F23" s="406"/>
    </row>
    <row r="24" spans="1:14">
      <c r="A24" s="545" t="s">
        <v>380</v>
      </c>
      <c r="B24" s="187">
        <v>1.25E-4</v>
      </c>
      <c r="C24" s="187">
        <f>0.0016+0.035284</f>
        <v>3.6884E-2</v>
      </c>
      <c r="D24" s="187">
        <f>0.0007+0.038+0.05</f>
        <v>8.8700000000000001E-2</v>
      </c>
      <c r="E24" s="189">
        <v>0</v>
      </c>
      <c r="F24" s="184">
        <v>0</v>
      </c>
    </row>
    <row r="25" spans="1:14">
      <c r="A25" s="545" t="s">
        <v>381</v>
      </c>
      <c r="B25" s="187">
        <v>0</v>
      </c>
      <c r="C25" s="187">
        <v>0</v>
      </c>
      <c r="D25" s="187">
        <v>0</v>
      </c>
      <c r="E25" s="189">
        <v>0</v>
      </c>
      <c r="F25" s="184">
        <v>0</v>
      </c>
    </row>
    <row r="26" spans="1:14">
      <c r="A26" s="546" t="s">
        <v>105</v>
      </c>
      <c r="B26" s="187">
        <v>1.1964319999999999</v>
      </c>
      <c r="C26" s="187">
        <v>0.67256499999999997</v>
      </c>
      <c r="D26" s="187">
        <v>0.13700000000000001</v>
      </c>
      <c r="E26" s="189">
        <v>0</v>
      </c>
      <c r="F26" s="185">
        <v>0</v>
      </c>
    </row>
    <row r="27" spans="1:14" ht="15" thickBot="1">
      <c r="A27" s="408" t="s">
        <v>44</v>
      </c>
      <c r="B27" s="409">
        <f>SUM(B7:B26)</f>
        <v>13.470889999999997</v>
      </c>
      <c r="C27" s="409">
        <f>SUM(C7:C26)</f>
        <v>13.111017000000002</v>
      </c>
      <c r="D27" s="409">
        <f>SUM(D7:D26)</f>
        <v>13.649737000000002</v>
      </c>
      <c r="E27" s="409">
        <f>SUM(E7:E26)</f>
        <v>0</v>
      </c>
      <c r="F27" s="410"/>
    </row>
    <row r="28" spans="1:14" ht="16.2">
      <c r="A28" s="633" t="s">
        <v>204</v>
      </c>
      <c r="B28" s="634"/>
      <c r="C28" s="634"/>
      <c r="D28" s="634"/>
      <c r="E28" s="634"/>
      <c r="F28" s="634"/>
      <c r="L28" s="264" t="s">
        <v>367</v>
      </c>
      <c r="M28" s="264" t="s">
        <v>368</v>
      </c>
      <c r="N28" s="264" t="s">
        <v>361</v>
      </c>
    </row>
    <row r="29" spans="1:14" ht="15" thickBot="1">
      <c r="J29" s="264" t="s">
        <v>86</v>
      </c>
      <c r="K29" s="264" t="s">
        <v>383</v>
      </c>
      <c r="L29" s="553">
        <v>184112.86</v>
      </c>
      <c r="M29" s="553">
        <v>166224.14000000004</v>
      </c>
      <c r="N29" s="553">
        <v>202383.89</v>
      </c>
    </row>
    <row r="30" spans="1:14">
      <c r="A30" s="399" t="s">
        <v>240</v>
      </c>
      <c r="B30" s="411" t="s">
        <v>144</v>
      </c>
      <c r="C30" s="411" t="s">
        <v>144</v>
      </c>
      <c r="D30" s="411" t="s">
        <v>145</v>
      </c>
      <c r="E30" s="412" t="s">
        <v>146</v>
      </c>
      <c r="J30" s="264" t="s">
        <v>86</v>
      </c>
      <c r="K30" s="264" t="s">
        <v>384</v>
      </c>
      <c r="L30" s="553">
        <v>256444.86999999997</v>
      </c>
      <c r="M30" s="553">
        <v>350171.52</v>
      </c>
      <c r="N30" s="553">
        <v>449671.74</v>
      </c>
    </row>
    <row r="31" spans="1:14">
      <c r="A31" s="413" t="s">
        <v>121</v>
      </c>
      <c r="B31" s="414" t="s">
        <v>367</v>
      </c>
      <c r="C31" s="415" t="s">
        <v>368</v>
      </c>
      <c r="D31" s="415" t="s">
        <v>361</v>
      </c>
      <c r="E31" s="416" t="s">
        <v>362</v>
      </c>
      <c r="J31" s="264" t="s">
        <v>86</v>
      </c>
      <c r="K31" s="264" t="s">
        <v>385</v>
      </c>
      <c r="L31" s="553">
        <v>1753333.5700000005</v>
      </c>
      <c r="M31" s="553">
        <v>1639064.5000000005</v>
      </c>
      <c r="N31" s="553">
        <v>1662626.28</v>
      </c>
    </row>
    <row r="32" spans="1:14">
      <c r="A32" s="181" t="s">
        <v>86</v>
      </c>
      <c r="B32" s="187">
        <f>SUMIF($J$29:$J$39,$A32,L$29:L$41)/1000000</f>
        <v>3.2912437000000008</v>
      </c>
      <c r="C32" s="187">
        <f t="shared" ref="C32:D32" si="0">SUMIF($J$29:$J$39,$A32,M$29:M$41)/1000000</f>
        <v>3.3641690300000007</v>
      </c>
      <c r="D32" s="187">
        <f t="shared" si="0"/>
        <v>3.52703648</v>
      </c>
      <c r="E32" s="188">
        <v>0</v>
      </c>
      <c r="J32" s="264" t="s">
        <v>86</v>
      </c>
      <c r="K32" s="264" t="s">
        <v>386</v>
      </c>
      <c r="L32" s="553">
        <v>847116.06999999972</v>
      </c>
      <c r="M32" s="553">
        <v>895986.76000000013</v>
      </c>
      <c r="N32" s="553">
        <v>942354.57</v>
      </c>
    </row>
    <row r="33" spans="1:14">
      <c r="A33" s="181" t="s">
        <v>6</v>
      </c>
      <c r="B33" s="187">
        <f t="shared" ref="B33:B38" si="1">SUMIF($J$29:$J$39,$A33,L$29:L$41)/1000000</f>
        <v>4.2849117899999998</v>
      </c>
      <c r="C33" s="187">
        <f t="shared" ref="C33:C38" si="2">SUMIF($J$29:$J$39,$A33,M$29:M$41)/1000000</f>
        <v>4.2820652499999996</v>
      </c>
      <c r="D33" s="187">
        <f t="shared" ref="D33:D38" si="3">SUMIF($J$29:$J$39,$A33,N$29:N$41)/1000000</f>
        <v>4.6414160000000004</v>
      </c>
      <c r="E33" s="188">
        <v>0</v>
      </c>
      <c r="J33" s="264" t="s">
        <v>86</v>
      </c>
      <c r="K33" s="264" t="s">
        <v>387</v>
      </c>
      <c r="L33" s="553">
        <v>250236.33</v>
      </c>
      <c r="M33" s="553">
        <v>312722.11</v>
      </c>
      <c r="N33" s="553">
        <v>270000</v>
      </c>
    </row>
    <row r="34" spans="1:14">
      <c r="A34" s="181" t="s">
        <v>7</v>
      </c>
      <c r="B34" s="187">
        <f t="shared" si="1"/>
        <v>0</v>
      </c>
      <c r="C34" s="187">
        <f t="shared" si="2"/>
        <v>0</v>
      </c>
      <c r="D34" s="187">
        <f t="shared" si="3"/>
        <v>0</v>
      </c>
      <c r="E34" s="188">
        <v>0</v>
      </c>
      <c r="J34" s="264" t="s">
        <v>11</v>
      </c>
      <c r="K34" s="264" t="s">
        <v>388</v>
      </c>
      <c r="L34" s="553">
        <v>548185.93000000005</v>
      </c>
      <c r="M34" s="553">
        <v>1982529</v>
      </c>
      <c r="N34" s="553">
        <v>750587.03</v>
      </c>
    </row>
    <row r="35" spans="1:14">
      <c r="A35" s="181" t="s">
        <v>41</v>
      </c>
      <c r="B35" s="187">
        <f t="shared" si="1"/>
        <v>1.2008674000000001</v>
      </c>
      <c r="C35" s="187">
        <f t="shared" si="2"/>
        <v>1.7229991899999999</v>
      </c>
      <c r="D35" s="187">
        <f t="shared" si="3"/>
        <v>2.0493454299999998</v>
      </c>
      <c r="E35" s="188">
        <v>0</v>
      </c>
      <c r="J35" s="264" t="s">
        <v>6</v>
      </c>
      <c r="K35" s="264" t="s">
        <v>389</v>
      </c>
      <c r="L35" s="553">
        <v>4284911.79</v>
      </c>
      <c r="M35" s="553">
        <v>4282065.25</v>
      </c>
      <c r="N35" s="553">
        <v>4641416</v>
      </c>
    </row>
    <row r="36" spans="1:14">
      <c r="A36" s="181" t="s">
        <v>9</v>
      </c>
      <c r="B36" s="187">
        <f t="shared" si="1"/>
        <v>2.1302860499999996</v>
      </c>
      <c r="C36" s="187">
        <f t="shared" si="2"/>
        <v>2.00833627</v>
      </c>
      <c r="D36" s="187">
        <f t="shared" si="3"/>
        <v>1.8310846500000002</v>
      </c>
      <c r="E36" s="188">
        <v>0</v>
      </c>
      <c r="J36" s="264" t="s">
        <v>10</v>
      </c>
      <c r="K36" s="264" t="s">
        <v>390</v>
      </c>
      <c r="L36" s="553">
        <v>786087.94999999984</v>
      </c>
      <c r="M36" s="553">
        <v>673725.56000000017</v>
      </c>
      <c r="N36" s="553">
        <v>810935.27</v>
      </c>
    </row>
    <row r="37" spans="1:14">
      <c r="A37" s="181" t="s">
        <v>10</v>
      </c>
      <c r="B37" s="187">
        <f t="shared" si="1"/>
        <v>0.78608794999999987</v>
      </c>
      <c r="C37" s="187">
        <f t="shared" si="2"/>
        <v>0.67372556000000017</v>
      </c>
      <c r="D37" s="187">
        <f t="shared" si="3"/>
        <v>0.81093526999999999</v>
      </c>
      <c r="E37" s="188">
        <v>0</v>
      </c>
      <c r="J37" s="264" t="s">
        <v>9</v>
      </c>
      <c r="K37" s="264" t="s">
        <v>391</v>
      </c>
      <c r="L37" s="553">
        <v>846050.33000000007</v>
      </c>
      <c r="M37" s="553">
        <v>781129.47000000009</v>
      </c>
      <c r="N37" s="553">
        <v>840283.06</v>
      </c>
    </row>
    <row r="38" spans="1:14">
      <c r="A38" s="181" t="s">
        <v>11</v>
      </c>
      <c r="B38" s="187">
        <f t="shared" si="1"/>
        <v>0.54818593000000004</v>
      </c>
      <c r="C38" s="187">
        <f t="shared" si="2"/>
        <v>1.982529</v>
      </c>
      <c r="D38" s="187">
        <f t="shared" si="3"/>
        <v>0.75058703000000004</v>
      </c>
      <c r="E38" s="188">
        <v>0</v>
      </c>
      <c r="J38" s="264" t="s">
        <v>9</v>
      </c>
      <c r="K38" s="264" t="s">
        <v>392</v>
      </c>
      <c r="L38" s="553">
        <v>1284235.72</v>
      </c>
      <c r="M38" s="553">
        <v>1227206.7999999998</v>
      </c>
      <c r="N38" s="553">
        <v>990801.59000000008</v>
      </c>
    </row>
    <row r="39" spans="1:14" ht="15" thickBot="1">
      <c r="A39" s="418" t="s">
        <v>211</v>
      </c>
      <c r="B39" s="419">
        <f>SUM(B32:B38)</f>
        <v>12.241582820000001</v>
      </c>
      <c r="C39" s="419">
        <f>SUM(C32:C38)</f>
        <v>14.033824299999997</v>
      </c>
      <c r="D39" s="419">
        <f>SUM(D32:D38)</f>
        <v>13.610404860000003</v>
      </c>
      <c r="E39" s="420">
        <f>SUM(E32:E38)</f>
        <v>0</v>
      </c>
      <c r="J39" s="264" t="s">
        <v>41</v>
      </c>
      <c r="K39" s="264" t="s">
        <v>393</v>
      </c>
      <c r="L39" s="553">
        <v>1200867.4000000001</v>
      </c>
      <c r="M39" s="553">
        <v>1722999.19</v>
      </c>
      <c r="N39" s="553">
        <v>2049345.43</v>
      </c>
    </row>
    <row r="40" spans="1:14" ht="15" thickBot="1">
      <c r="A40" s="421"/>
      <c r="B40" s="366"/>
      <c r="C40" s="366"/>
      <c r="D40" s="366"/>
      <c r="E40" s="422"/>
      <c r="K40" s="264" t="s">
        <v>394</v>
      </c>
      <c r="L40" s="553">
        <v>0</v>
      </c>
      <c r="M40" s="553">
        <v>0</v>
      </c>
      <c r="N40" s="553">
        <v>0</v>
      </c>
    </row>
    <row r="41" spans="1:14">
      <c r="A41" s="399" t="s">
        <v>240</v>
      </c>
      <c r="B41" s="415" t="s">
        <v>144</v>
      </c>
      <c r="C41" s="415" t="s">
        <v>144</v>
      </c>
      <c r="D41" s="415" t="s">
        <v>145</v>
      </c>
      <c r="E41" s="416" t="s">
        <v>146</v>
      </c>
      <c r="K41" s="264" t="s">
        <v>395</v>
      </c>
      <c r="L41" s="553">
        <v>0</v>
      </c>
      <c r="M41" s="553">
        <v>0</v>
      </c>
      <c r="N41" s="553">
        <v>0</v>
      </c>
    </row>
    <row r="42" spans="1:14">
      <c r="A42" s="423" t="s">
        <v>120</v>
      </c>
      <c r="B42" s="414" t="s">
        <v>367</v>
      </c>
      <c r="C42" s="415" t="s">
        <v>368</v>
      </c>
      <c r="D42" s="415" t="s">
        <v>361</v>
      </c>
      <c r="E42" s="416" t="s">
        <v>362</v>
      </c>
      <c r="L42" s="554">
        <f>SUM(L29:L41)</f>
        <v>12241582.820000002</v>
      </c>
      <c r="M42" s="554">
        <f t="shared" ref="M42:N42" si="4">SUM(M29:M41)</f>
        <v>14033824.300000003</v>
      </c>
      <c r="N42" s="554">
        <f t="shared" si="4"/>
        <v>13610404.859999999</v>
      </c>
    </row>
    <row r="43" spans="1:14">
      <c r="A43" s="424" t="s">
        <v>132</v>
      </c>
      <c r="B43" s="187">
        <v>2.6431</v>
      </c>
      <c r="C43" s="187">
        <v>2.8574999999999999</v>
      </c>
      <c r="D43" s="187">
        <v>3.1640549999999998</v>
      </c>
      <c r="E43" s="188">
        <v>0</v>
      </c>
    </row>
    <row r="44" spans="1:14">
      <c r="A44" s="424" t="s">
        <v>131</v>
      </c>
      <c r="B44" s="187">
        <v>0</v>
      </c>
      <c r="C44" s="187">
        <v>0</v>
      </c>
      <c r="D44" s="187">
        <v>0</v>
      </c>
      <c r="E44" s="188">
        <v>0</v>
      </c>
    </row>
    <row r="45" spans="1:14">
      <c r="A45" s="424" t="s">
        <v>13</v>
      </c>
      <c r="B45" s="187">
        <v>0</v>
      </c>
      <c r="C45" s="187">
        <v>0</v>
      </c>
      <c r="D45" s="187">
        <v>0</v>
      </c>
      <c r="E45" s="188">
        <v>0</v>
      </c>
    </row>
    <row r="46" spans="1:14">
      <c r="A46" s="424" t="s">
        <v>14</v>
      </c>
      <c r="B46" s="187">
        <v>0</v>
      </c>
      <c r="C46" s="187">
        <v>0</v>
      </c>
      <c r="D46" s="187">
        <v>0</v>
      </c>
      <c r="E46" s="188">
        <v>0</v>
      </c>
    </row>
    <row r="47" spans="1:14">
      <c r="A47" s="424" t="s">
        <v>15</v>
      </c>
      <c r="B47" s="187">
        <f>0.984182-0.00000018</f>
        <v>0.98418181999999998</v>
      </c>
      <c r="C47" s="187">
        <f>1.098148-0.0000017</f>
        <v>1.0981462999999998</v>
      </c>
      <c r="D47" s="187">
        <f>1.121802+0.00000486</f>
        <v>1.12180686</v>
      </c>
      <c r="E47" s="188">
        <v>0</v>
      </c>
    </row>
    <row r="48" spans="1:14">
      <c r="A48" s="424" t="s">
        <v>102</v>
      </c>
      <c r="B48" s="187">
        <v>0</v>
      </c>
      <c r="C48" s="187">
        <v>0</v>
      </c>
      <c r="D48" s="187">
        <v>0</v>
      </c>
      <c r="E48" s="188">
        <v>0</v>
      </c>
    </row>
    <row r="49" spans="1:5">
      <c r="A49" s="424" t="s">
        <v>16</v>
      </c>
      <c r="B49" s="222">
        <f>SUM(B43:B48)</f>
        <v>3.6272818199999999</v>
      </c>
      <c r="C49" s="222">
        <f t="shared" ref="C49:E49" si="5">SUM(C43:C48)</f>
        <v>3.9556462999999997</v>
      </c>
      <c r="D49" s="222">
        <f t="shared" si="5"/>
        <v>4.2858618599999998</v>
      </c>
      <c r="E49" s="224">
        <f t="shared" si="5"/>
        <v>0</v>
      </c>
    </row>
    <row r="50" spans="1:5">
      <c r="A50" s="424" t="s">
        <v>397</v>
      </c>
      <c r="B50" s="187">
        <v>3.4321630000000001</v>
      </c>
      <c r="C50" s="187">
        <v>3.4724590000000002</v>
      </c>
      <c r="D50" s="187">
        <v>3.78268</v>
      </c>
      <c r="E50" s="188">
        <v>0</v>
      </c>
    </row>
    <row r="51" spans="1:5">
      <c r="A51" s="424" t="s">
        <v>147</v>
      </c>
      <c r="B51" s="187">
        <f>7.962774-B50</f>
        <v>4.5306109999999995</v>
      </c>
      <c r="C51" s="187">
        <f>7.454573-C50</f>
        <v>3.9821139999999997</v>
      </c>
      <c r="D51" s="187">
        <f>7.728546-D50</f>
        <v>3.9458659999999997</v>
      </c>
      <c r="E51" s="188">
        <v>0</v>
      </c>
    </row>
    <row r="52" spans="1:5">
      <c r="A52" s="424" t="s">
        <v>149</v>
      </c>
      <c r="B52" s="187">
        <v>0</v>
      </c>
      <c r="C52" s="187">
        <v>0</v>
      </c>
      <c r="D52" s="187">
        <v>0</v>
      </c>
      <c r="E52" s="188">
        <v>0</v>
      </c>
    </row>
    <row r="53" spans="1:5">
      <c r="A53" s="424" t="s">
        <v>148</v>
      </c>
      <c r="B53" s="187">
        <f>0.547186+0.104341</f>
        <v>0.65152699999999997</v>
      </c>
      <c r="C53" s="187">
        <f>1.982529+0.641076</f>
        <v>2.623605</v>
      </c>
      <c r="D53" s="187">
        <f>0.750587+0.84541</f>
        <v>1.5959970000000001</v>
      </c>
      <c r="E53" s="188">
        <v>0</v>
      </c>
    </row>
    <row r="54" spans="1:5">
      <c r="A54" s="424" t="s">
        <v>191</v>
      </c>
      <c r="B54" s="187">
        <v>0</v>
      </c>
      <c r="C54" s="187">
        <v>0</v>
      </c>
      <c r="D54" s="187">
        <v>0</v>
      </c>
      <c r="E54" s="188">
        <v>0</v>
      </c>
    </row>
    <row r="55" spans="1:5">
      <c r="A55" s="424" t="s">
        <v>43</v>
      </c>
      <c r="B55" s="225">
        <f>SUM(B49:B54)</f>
        <v>12.24158282</v>
      </c>
      <c r="C55" s="225">
        <f>SUM(C49:C54)</f>
        <v>14.033824299999999</v>
      </c>
      <c r="D55" s="225">
        <f>SUM(D49:D54)</f>
        <v>13.610404859999999</v>
      </c>
      <c r="E55" s="227">
        <f>SUM(E49:E54)</f>
        <v>0</v>
      </c>
    </row>
    <row r="56" spans="1:5" ht="15" thickBot="1">
      <c r="A56" s="366"/>
      <c r="B56" s="228" t="str">
        <f>IF(B55&lt;&gt;B39,"Unequal","Equal")</f>
        <v>Equal</v>
      </c>
      <c r="C56" s="228" t="str">
        <f>IF(C55&lt;&gt;C39,"Unequal","Equal")</f>
        <v>Equal</v>
      </c>
      <c r="D56" s="228" t="str">
        <f>IF(D55&lt;&gt;D39,"Unequal","Equal")</f>
        <v>Equal</v>
      </c>
      <c r="E56" s="230" t="str">
        <f>IF(E55&lt;&gt;E39,"Unequal","Equal")</f>
        <v>Equal</v>
      </c>
    </row>
    <row r="57" spans="1:5" ht="15" thickBot="1">
      <c r="B57" s="555">
        <f>(+B39-B55)*1000000</f>
        <v>1.7763568394002505E-9</v>
      </c>
      <c r="C57" s="555">
        <f t="shared" ref="C57:D57" si="6">(+C39-C55)*1000000</f>
        <v>-1.7763568394002505E-9</v>
      </c>
      <c r="D57" s="555">
        <f t="shared" si="6"/>
        <v>3.5527136788005009E-9</v>
      </c>
    </row>
    <row r="58" spans="1:5">
      <c r="A58" s="399" t="s">
        <v>240</v>
      </c>
      <c r="B58" s="425"/>
      <c r="C58" s="425"/>
      <c r="D58" s="425"/>
      <c r="E58" s="426"/>
    </row>
    <row r="59" spans="1:5">
      <c r="A59" s="427" t="s">
        <v>101</v>
      </c>
      <c r="B59" s="428"/>
      <c r="C59" s="429">
        <v>43100</v>
      </c>
      <c r="D59" s="429">
        <v>43465</v>
      </c>
      <c r="E59" s="430">
        <v>43830</v>
      </c>
    </row>
    <row r="60" spans="1:5">
      <c r="A60" s="417" t="s">
        <v>205</v>
      </c>
      <c r="B60" s="364"/>
      <c r="C60" s="187">
        <v>0</v>
      </c>
      <c r="D60" s="187">
        <v>0</v>
      </c>
      <c r="E60" s="188">
        <v>0</v>
      </c>
    </row>
    <row r="61" spans="1:5">
      <c r="A61" s="417" t="s">
        <v>210</v>
      </c>
      <c r="B61" s="364"/>
      <c r="C61" s="187">
        <v>0</v>
      </c>
      <c r="D61" s="187">
        <v>0</v>
      </c>
      <c r="E61" s="188">
        <v>0</v>
      </c>
    </row>
    <row r="62" spans="1:5">
      <c r="A62" s="417" t="s">
        <v>209</v>
      </c>
      <c r="B62" s="364"/>
      <c r="C62" s="187">
        <v>0</v>
      </c>
      <c r="D62" s="187">
        <v>0</v>
      </c>
      <c r="E62" s="188">
        <v>0</v>
      </c>
    </row>
    <row r="63" spans="1:5">
      <c r="A63" s="417" t="s">
        <v>208</v>
      </c>
      <c r="B63" s="364"/>
      <c r="C63" s="187">
        <v>0</v>
      </c>
      <c r="D63" s="187">
        <v>0</v>
      </c>
      <c r="E63" s="188">
        <v>0</v>
      </c>
    </row>
    <row r="64" spans="1:5">
      <c r="A64" s="417"/>
      <c r="B64" s="364"/>
      <c r="C64" s="431"/>
      <c r="D64" s="431"/>
      <c r="E64" s="432"/>
    </row>
    <row r="65" spans="1:12">
      <c r="A65" s="417" t="s">
        <v>206</v>
      </c>
      <c r="B65" s="364"/>
      <c r="C65" s="187">
        <v>0</v>
      </c>
      <c r="D65" s="187">
        <v>0</v>
      </c>
      <c r="E65" s="188">
        <v>0</v>
      </c>
    </row>
    <row r="66" spans="1:12">
      <c r="A66" s="417" t="s">
        <v>207</v>
      </c>
      <c r="B66" s="364"/>
      <c r="C66" s="47">
        <v>3.7058430000000002</v>
      </c>
      <c r="D66" s="47">
        <v>4.4228079999999999</v>
      </c>
      <c r="E66" s="49">
        <v>3.5</v>
      </c>
    </row>
    <row r="67" spans="1:12" ht="15" thickBot="1">
      <c r="A67" s="433" t="s">
        <v>288</v>
      </c>
      <c r="B67" s="434"/>
      <c r="C67" s="419">
        <f>SUM(C65:C66)</f>
        <v>3.7058430000000002</v>
      </c>
      <c r="D67" s="419">
        <f t="shared" ref="D67:E67" si="7">SUM(D65:D66)</f>
        <v>4.4228079999999999</v>
      </c>
      <c r="E67" s="420">
        <f t="shared" si="7"/>
        <v>3.5</v>
      </c>
    </row>
    <row r="68" spans="1:12" ht="15" thickBot="1"/>
    <row r="69" spans="1:12" ht="15.6">
      <c r="A69" s="435" t="s">
        <v>258</v>
      </c>
      <c r="B69" s="436" t="s">
        <v>257</v>
      </c>
      <c r="C69" s="437" t="s">
        <v>241</v>
      </c>
      <c r="D69" s="438" t="s">
        <v>368</v>
      </c>
      <c r="E69" s="438" t="s">
        <v>361</v>
      </c>
      <c r="F69" s="438" t="s">
        <v>362</v>
      </c>
      <c r="G69" s="438" t="s">
        <v>363</v>
      </c>
      <c r="H69" s="438" t="s">
        <v>364</v>
      </c>
      <c r="I69" s="438" t="s">
        <v>365</v>
      </c>
      <c r="J69" s="438" t="s">
        <v>366</v>
      </c>
      <c r="K69" s="438" t="s">
        <v>370</v>
      </c>
      <c r="L69" s="439" t="s">
        <v>371</v>
      </c>
    </row>
    <row r="70" spans="1:12">
      <c r="A70" s="440" t="s">
        <v>216</v>
      </c>
      <c r="B70" s="441" t="s">
        <v>256</v>
      </c>
      <c r="C70" s="442" t="s">
        <v>260</v>
      </c>
      <c r="D70" s="443"/>
      <c r="E70" s="443"/>
      <c r="F70" s="443"/>
      <c r="G70" s="443"/>
      <c r="H70" s="443"/>
      <c r="I70" s="443"/>
      <c r="J70" s="443"/>
      <c r="K70" s="443"/>
      <c r="L70" s="444"/>
    </row>
    <row r="71" spans="1:12">
      <c r="A71" s="445" t="s">
        <v>259</v>
      </c>
      <c r="B71" s="446"/>
      <c r="C71" s="547">
        <v>0</v>
      </c>
      <c r="D71" s="51">
        <v>0</v>
      </c>
      <c r="E71" s="51">
        <v>0</v>
      </c>
      <c r="F71" s="51">
        <v>0</v>
      </c>
      <c r="G71" s="447">
        <f>F71+$C71</f>
        <v>0</v>
      </c>
      <c r="H71" s="447">
        <f t="shared" ref="H71:L71" si="8">G71+$C71</f>
        <v>0</v>
      </c>
      <c r="I71" s="447">
        <f t="shared" si="8"/>
        <v>0</v>
      </c>
      <c r="J71" s="447">
        <f t="shared" si="8"/>
        <v>0</v>
      </c>
      <c r="K71" s="447">
        <f t="shared" si="8"/>
        <v>0</v>
      </c>
      <c r="L71" s="448">
        <f t="shared" si="8"/>
        <v>0</v>
      </c>
    </row>
    <row r="72" spans="1:12">
      <c r="A72" s="445" t="s">
        <v>212</v>
      </c>
      <c r="B72" s="446"/>
      <c r="C72" s="449"/>
      <c r="D72" s="446"/>
      <c r="E72" s="446"/>
      <c r="F72" s="50">
        <v>2.5000000000000001E-2</v>
      </c>
      <c r="G72" s="50">
        <v>0.02</v>
      </c>
      <c r="H72" s="50">
        <v>0.02</v>
      </c>
      <c r="I72" s="50">
        <v>0.02</v>
      </c>
      <c r="J72" s="50">
        <v>0.02</v>
      </c>
      <c r="K72" s="50">
        <v>0.02</v>
      </c>
      <c r="L72" s="48">
        <v>0.02</v>
      </c>
    </row>
    <row r="73" spans="1:12">
      <c r="A73" s="445" t="s">
        <v>213</v>
      </c>
      <c r="B73" s="446"/>
      <c r="C73" s="450"/>
      <c r="D73" s="446"/>
      <c r="E73" s="446"/>
      <c r="F73" s="50">
        <v>2.5000000000000001E-3</v>
      </c>
      <c r="G73" s="50">
        <v>2.5000000000000001E-3</v>
      </c>
      <c r="H73" s="50">
        <v>2.5000000000000001E-3</v>
      </c>
      <c r="I73" s="50">
        <v>2.5000000000000001E-3</v>
      </c>
      <c r="J73" s="50">
        <v>2.5000000000000001E-3</v>
      </c>
      <c r="K73" s="50">
        <v>2.5000000000000001E-3</v>
      </c>
      <c r="L73" s="48">
        <v>2.5000000000000001E-3</v>
      </c>
    </row>
    <row r="74" spans="1:12">
      <c r="A74" s="451" t="s">
        <v>214</v>
      </c>
      <c r="B74" s="446"/>
      <c r="C74" s="452"/>
      <c r="D74" s="446"/>
      <c r="E74" s="446"/>
      <c r="F74" s="453">
        <f>IFERROR(F71/E71-1,0)</f>
        <v>0</v>
      </c>
      <c r="G74" s="453">
        <f t="shared" ref="G74:L74" si="9">IFERROR(G71/F71-1,0)</f>
        <v>0</v>
      </c>
      <c r="H74" s="453">
        <f t="shared" si="9"/>
        <v>0</v>
      </c>
      <c r="I74" s="453">
        <f t="shared" si="9"/>
        <v>0</v>
      </c>
      <c r="J74" s="453">
        <f t="shared" si="9"/>
        <v>0</v>
      </c>
      <c r="K74" s="453">
        <f t="shared" si="9"/>
        <v>0</v>
      </c>
      <c r="L74" s="454">
        <f t="shared" si="9"/>
        <v>0</v>
      </c>
    </row>
    <row r="75" spans="1:12">
      <c r="A75" s="455" t="s">
        <v>215</v>
      </c>
      <c r="B75" s="17">
        <v>0</v>
      </c>
      <c r="C75" s="452"/>
      <c r="D75" s="443"/>
      <c r="E75" s="443"/>
      <c r="F75" s="456">
        <f>SUM(F72:F74)</f>
        <v>2.75E-2</v>
      </c>
      <c r="G75" s="456">
        <f t="shared" ref="G75" si="10">SUM(G72:G74)</f>
        <v>2.2499999999999999E-2</v>
      </c>
      <c r="H75" s="456">
        <f t="shared" ref="H75" si="11">SUM(H72:H74)</f>
        <v>2.2499999999999999E-2</v>
      </c>
      <c r="I75" s="456">
        <f t="shared" ref="I75" si="12">SUM(I72:I74)</f>
        <v>2.2499999999999999E-2</v>
      </c>
      <c r="J75" s="456">
        <f t="shared" ref="J75" si="13">SUM(J72:J74)</f>
        <v>2.2499999999999999E-2</v>
      </c>
      <c r="K75" s="456">
        <f t="shared" ref="K75" si="14">SUM(K72:K74)</f>
        <v>2.2499999999999999E-2</v>
      </c>
      <c r="L75" s="457">
        <f t="shared" ref="L75" si="15">SUM(L72:L74)</f>
        <v>2.2499999999999999E-2</v>
      </c>
    </row>
    <row r="76" spans="1:12">
      <c r="A76" s="458" t="s">
        <v>220</v>
      </c>
      <c r="B76" s="443"/>
      <c r="C76" s="452"/>
      <c r="D76" s="443"/>
      <c r="E76" s="443"/>
      <c r="F76" s="443"/>
      <c r="G76" s="443"/>
      <c r="H76" s="443"/>
      <c r="I76" s="443"/>
      <c r="J76" s="443"/>
      <c r="K76" s="443"/>
      <c r="L76" s="444"/>
    </row>
    <row r="77" spans="1:12">
      <c r="A77" s="445" t="s">
        <v>259</v>
      </c>
      <c r="B77" s="446"/>
      <c r="C77" s="547">
        <v>0</v>
      </c>
      <c r="D77" s="51">
        <v>0</v>
      </c>
      <c r="E77" s="51">
        <v>0</v>
      </c>
      <c r="F77" s="51">
        <v>0</v>
      </c>
      <c r="G77" s="548">
        <f>F77+$C77</f>
        <v>0</v>
      </c>
      <c r="H77" s="548">
        <f t="shared" ref="H77:L77" si="16">G77+$C77</f>
        <v>0</v>
      </c>
      <c r="I77" s="548">
        <f t="shared" si="16"/>
        <v>0</v>
      </c>
      <c r="J77" s="548">
        <f t="shared" si="16"/>
        <v>0</v>
      </c>
      <c r="K77" s="548">
        <f t="shared" si="16"/>
        <v>0</v>
      </c>
      <c r="L77" s="549">
        <f t="shared" si="16"/>
        <v>0</v>
      </c>
    </row>
    <row r="78" spans="1:12">
      <c r="A78" s="445" t="s">
        <v>212</v>
      </c>
      <c r="B78" s="446"/>
      <c r="C78" s="449"/>
      <c r="D78" s="446"/>
      <c r="E78" s="446"/>
      <c r="F78" s="50">
        <v>2.5000000000000001E-2</v>
      </c>
      <c r="G78" s="50">
        <v>0.02</v>
      </c>
      <c r="H78" s="50">
        <v>0.02</v>
      </c>
      <c r="I78" s="50">
        <v>0.02</v>
      </c>
      <c r="J78" s="50">
        <v>0.02</v>
      </c>
      <c r="K78" s="50">
        <v>0.02</v>
      </c>
      <c r="L78" s="48">
        <v>0.02</v>
      </c>
    </row>
    <row r="79" spans="1:12">
      <c r="A79" s="445" t="s">
        <v>213</v>
      </c>
      <c r="B79" s="446"/>
      <c r="C79" s="450"/>
      <c r="D79" s="446"/>
      <c r="E79" s="446"/>
      <c r="F79" s="50">
        <v>2.5000000000000001E-3</v>
      </c>
      <c r="G79" s="50">
        <v>2.5000000000000001E-3</v>
      </c>
      <c r="H79" s="50">
        <v>2.5000000000000001E-3</v>
      </c>
      <c r="I79" s="50">
        <v>2.5000000000000001E-3</v>
      </c>
      <c r="J79" s="50">
        <v>2.5000000000000001E-3</v>
      </c>
      <c r="K79" s="50">
        <v>2.5000000000000001E-3</v>
      </c>
      <c r="L79" s="48">
        <v>2.5000000000000001E-3</v>
      </c>
    </row>
    <row r="80" spans="1:12">
      <c r="A80" s="451" t="s">
        <v>214</v>
      </c>
      <c r="B80" s="446"/>
      <c r="C80" s="452"/>
      <c r="D80" s="446"/>
      <c r="E80" s="446"/>
      <c r="F80" s="453">
        <f>IFERROR(F77/E77-1,0)</f>
        <v>0</v>
      </c>
      <c r="G80" s="453">
        <f t="shared" ref="G80:L80" si="17">IFERROR(G77/F77-1,0)</f>
        <v>0</v>
      </c>
      <c r="H80" s="453">
        <f t="shared" si="17"/>
        <v>0</v>
      </c>
      <c r="I80" s="453">
        <f t="shared" si="17"/>
        <v>0</v>
      </c>
      <c r="J80" s="453">
        <f t="shared" si="17"/>
        <v>0</v>
      </c>
      <c r="K80" s="453">
        <f t="shared" si="17"/>
        <v>0</v>
      </c>
      <c r="L80" s="454">
        <f t="shared" si="17"/>
        <v>0</v>
      </c>
    </row>
    <row r="81" spans="1:13">
      <c r="A81" s="455" t="s">
        <v>219</v>
      </c>
      <c r="B81" s="17">
        <v>0</v>
      </c>
      <c r="C81" s="452"/>
      <c r="D81" s="443"/>
      <c r="E81" s="443"/>
      <c r="F81" s="456">
        <f>SUM(F78:F80)</f>
        <v>2.75E-2</v>
      </c>
      <c r="G81" s="456">
        <f t="shared" ref="G81:L81" si="18">SUM(G78:G80)</f>
        <v>2.2499999999999999E-2</v>
      </c>
      <c r="H81" s="456">
        <f t="shared" si="18"/>
        <v>2.2499999999999999E-2</v>
      </c>
      <c r="I81" s="456">
        <f t="shared" si="18"/>
        <v>2.2499999999999999E-2</v>
      </c>
      <c r="J81" s="456">
        <f t="shared" si="18"/>
        <v>2.2499999999999999E-2</v>
      </c>
      <c r="K81" s="456">
        <f t="shared" si="18"/>
        <v>2.2499999999999999E-2</v>
      </c>
      <c r="L81" s="457">
        <f t="shared" si="18"/>
        <v>2.2499999999999999E-2</v>
      </c>
    </row>
    <row r="82" spans="1:13">
      <c r="A82" s="458" t="s">
        <v>218</v>
      </c>
      <c r="B82" s="443"/>
      <c r="C82" s="452"/>
      <c r="D82" s="443"/>
      <c r="E82" s="443"/>
      <c r="F82" s="443"/>
      <c r="G82" s="443"/>
      <c r="H82" s="443"/>
      <c r="I82" s="443"/>
      <c r="J82" s="443"/>
      <c r="K82" s="443"/>
      <c r="L82" s="444"/>
    </row>
    <row r="83" spans="1:13">
      <c r="A83" s="445" t="s">
        <v>259</v>
      </c>
      <c r="B83" s="446"/>
      <c r="C83" s="547">
        <v>0</v>
      </c>
      <c r="D83" s="51">
        <v>0</v>
      </c>
      <c r="E83" s="51">
        <v>0</v>
      </c>
      <c r="F83" s="51">
        <v>0</v>
      </c>
      <c r="G83" s="548">
        <f>F83+$C83</f>
        <v>0</v>
      </c>
      <c r="H83" s="548">
        <f t="shared" ref="H83:L83" si="19">G83+$C83</f>
        <v>0</v>
      </c>
      <c r="I83" s="548">
        <f t="shared" si="19"/>
        <v>0</v>
      </c>
      <c r="J83" s="548">
        <f t="shared" si="19"/>
        <v>0</v>
      </c>
      <c r="K83" s="548">
        <f t="shared" si="19"/>
        <v>0</v>
      </c>
      <c r="L83" s="549">
        <f t="shared" si="19"/>
        <v>0</v>
      </c>
    </row>
    <row r="84" spans="1:13">
      <c r="A84" s="445" t="s">
        <v>212</v>
      </c>
      <c r="B84" s="446"/>
      <c r="C84" s="450"/>
      <c r="D84" s="446"/>
      <c r="E84" s="446"/>
      <c r="F84" s="50">
        <v>0.02</v>
      </c>
      <c r="G84" s="50">
        <v>0.02</v>
      </c>
      <c r="H84" s="50">
        <v>0.02</v>
      </c>
      <c r="I84" s="50">
        <v>0.02</v>
      </c>
      <c r="J84" s="50">
        <v>0.02</v>
      </c>
      <c r="K84" s="50">
        <v>0.02</v>
      </c>
      <c r="L84" s="48">
        <v>0.02</v>
      </c>
    </row>
    <row r="85" spans="1:13">
      <c r="A85" s="445" t="s">
        <v>213</v>
      </c>
      <c r="B85" s="446"/>
      <c r="C85" s="452"/>
      <c r="D85" s="446"/>
      <c r="E85" s="446"/>
      <c r="F85" s="50">
        <v>2.5000000000000001E-3</v>
      </c>
      <c r="G85" s="50">
        <v>2.5000000000000001E-3</v>
      </c>
      <c r="H85" s="50">
        <v>2.5000000000000001E-3</v>
      </c>
      <c r="I85" s="50">
        <v>2.5000000000000001E-3</v>
      </c>
      <c r="J85" s="50">
        <v>2.5000000000000001E-3</v>
      </c>
      <c r="K85" s="50">
        <v>2.5000000000000001E-3</v>
      </c>
      <c r="L85" s="48">
        <v>2.5000000000000001E-3</v>
      </c>
    </row>
    <row r="86" spans="1:13">
      <c r="A86" s="451" t="s">
        <v>214</v>
      </c>
      <c r="B86" s="446"/>
      <c r="C86" s="459"/>
      <c r="D86" s="446"/>
      <c r="E86" s="446"/>
      <c r="F86" s="453">
        <f>IFERROR(F83/E83-1,0)</f>
        <v>0</v>
      </c>
      <c r="G86" s="453">
        <f t="shared" ref="G86:L86" si="20">IFERROR(G83/F83-1,0)</f>
        <v>0</v>
      </c>
      <c r="H86" s="453">
        <f t="shared" si="20"/>
        <v>0</v>
      </c>
      <c r="I86" s="453">
        <f t="shared" si="20"/>
        <v>0</v>
      </c>
      <c r="J86" s="453">
        <f t="shared" si="20"/>
        <v>0</v>
      </c>
      <c r="K86" s="453">
        <f t="shared" si="20"/>
        <v>0</v>
      </c>
      <c r="L86" s="454">
        <f t="shared" si="20"/>
        <v>0</v>
      </c>
    </row>
    <row r="87" spans="1:13" ht="15" thickBot="1">
      <c r="A87" s="460" t="s">
        <v>217</v>
      </c>
      <c r="B87" s="54">
        <v>0</v>
      </c>
      <c r="C87" s="461"/>
      <c r="D87" s="462"/>
      <c r="E87" s="462"/>
      <c r="F87" s="463">
        <f>SUM(F84:F86)</f>
        <v>2.2499999999999999E-2</v>
      </c>
      <c r="G87" s="463">
        <f t="shared" ref="G87" si="21">SUM(G84:G86)</f>
        <v>2.2499999999999999E-2</v>
      </c>
      <c r="H87" s="463">
        <f t="shared" ref="H87" si="22">SUM(H84:H86)</f>
        <v>2.2499999999999999E-2</v>
      </c>
      <c r="I87" s="463">
        <f t="shared" ref="I87" si="23">SUM(I84:I86)</f>
        <v>2.2499999999999999E-2</v>
      </c>
      <c r="J87" s="463">
        <f t="shared" ref="J87" si="24">SUM(J84:J86)</f>
        <v>2.2499999999999999E-2</v>
      </c>
      <c r="K87" s="463">
        <f t="shared" ref="K87" si="25">SUM(K84:K86)</f>
        <v>2.2499999999999999E-2</v>
      </c>
      <c r="L87" s="464">
        <f t="shared" ref="L87" si="26">SUM(L84:L86)</f>
        <v>2.2499999999999999E-2</v>
      </c>
    </row>
    <row r="88" spans="1:13" ht="15" thickBot="1">
      <c r="B88" s="465">
        <f>Misc_all_other+Fire_sworn+Police_sworn</f>
        <v>0</v>
      </c>
    </row>
    <row r="89" spans="1:13" ht="15.6">
      <c r="A89" s="435" t="s">
        <v>111</v>
      </c>
      <c r="B89" s="425"/>
      <c r="C89" s="245" t="s">
        <v>367</v>
      </c>
      <c r="D89" s="245" t="s">
        <v>368</v>
      </c>
      <c r="E89" s="245" t="s">
        <v>361</v>
      </c>
      <c r="F89" s="245" t="s">
        <v>362</v>
      </c>
      <c r="G89" s="245" t="s">
        <v>363</v>
      </c>
      <c r="H89" s="245" t="s">
        <v>364</v>
      </c>
      <c r="I89" s="245" t="s">
        <v>365</v>
      </c>
      <c r="J89" s="245" t="s">
        <v>366</v>
      </c>
      <c r="K89" s="245" t="s">
        <v>370</v>
      </c>
      <c r="L89" s="246" t="s">
        <v>371</v>
      </c>
      <c r="M89" s="466" t="s">
        <v>290</v>
      </c>
    </row>
    <row r="90" spans="1:13">
      <c r="A90" s="467" t="s">
        <v>230</v>
      </c>
      <c r="B90" s="308">
        <v>2</v>
      </c>
      <c r="C90" s="468" t="str">
        <f>IF(Invest_Return_Profile=1,N124,IF(Invest_Return_Profile=2,N125,N126))</f>
        <v>Med= -5% return FY20, 12% return FY21, 6.2% return thereafter</v>
      </c>
      <c r="D90" s="469"/>
      <c r="E90" s="469"/>
      <c r="F90" s="469"/>
      <c r="G90" s="469"/>
      <c r="H90" s="469"/>
      <c r="I90" s="469"/>
      <c r="J90" s="469"/>
      <c r="K90" s="469"/>
      <c r="L90" s="470"/>
    </row>
    <row r="91" spans="1:13">
      <c r="A91" s="471" t="s">
        <v>261</v>
      </c>
      <c r="B91" s="308">
        <v>1</v>
      </c>
      <c r="C91" s="472" t="str">
        <f>IF(Disc_Rate2=0,"7% Discount Rate ongoing","6.5% Discount rate phased in by FY26")</f>
        <v>6.5% Discount rate phased in by FY26</v>
      </c>
      <c r="D91" s="469"/>
      <c r="E91" s="469"/>
      <c r="F91" s="469"/>
      <c r="G91" s="473"/>
      <c r="H91" s="469"/>
      <c r="I91" s="469"/>
      <c r="J91" s="469"/>
      <c r="K91" s="469"/>
      <c r="L91" s="470"/>
    </row>
    <row r="92" spans="1:13">
      <c r="A92" s="471" t="s">
        <v>262</v>
      </c>
      <c r="B92" s="308">
        <v>1</v>
      </c>
      <c r="C92" s="472" t="str">
        <f>IF(UAL_prepay=0,"Pay UAL monthly, no discount","Pay UAL up-front, receive 3.3% discount")</f>
        <v>Pay UAL up-front, receive 3.3% discount</v>
      </c>
      <c r="D92" s="469"/>
      <c r="E92" s="469"/>
      <c r="F92" s="469"/>
      <c r="G92" s="473"/>
      <c r="H92" s="469"/>
      <c r="I92" s="469"/>
      <c r="J92" s="469"/>
      <c r="K92" s="469"/>
      <c r="L92" s="470"/>
    </row>
    <row r="93" spans="1:13">
      <c r="A93" s="474"/>
      <c r="B93" s="475"/>
      <c r="C93" s="472"/>
      <c r="D93" s="469"/>
      <c r="E93" s="469"/>
      <c r="F93" s="469"/>
      <c r="G93" s="473"/>
      <c r="H93" s="469"/>
      <c r="I93" s="469"/>
      <c r="J93" s="469"/>
      <c r="K93" s="469"/>
      <c r="L93" s="470"/>
    </row>
    <row r="94" spans="1:13">
      <c r="A94" s="467" t="s">
        <v>280</v>
      </c>
      <c r="B94" s="476"/>
      <c r="C94" s="190"/>
      <c r="D94" s="190"/>
      <c r="E94" s="190"/>
      <c r="F94" s="190"/>
      <c r="G94" s="190"/>
      <c r="H94" s="190"/>
      <c r="I94" s="190"/>
      <c r="J94" s="190"/>
      <c r="K94" s="190"/>
      <c r="L94" s="191"/>
    </row>
    <row r="95" spans="1:13">
      <c r="A95" s="467" t="s">
        <v>284</v>
      </c>
      <c r="B95" s="476"/>
      <c r="C95" s="157">
        <v>0</v>
      </c>
      <c r="D95" s="157">
        <v>0</v>
      </c>
      <c r="E95" s="157">
        <v>0</v>
      </c>
      <c r="F95" s="157">
        <v>0</v>
      </c>
      <c r="G95" s="157">
        <v>0</v>
      </c>
      <c r="H95" s="157">
        <v>0</v>
      </c>
      <c r="I95" s="157">
        <v>0</v>
      </c>
      <c r="J95" s="157">
        <v>0</v>
      </c>
      <c r="K95" s="157">
        <v>0</v>
      </c>
      <c r="L95" s="158">
        <v>0</v>
      </c>
    </row>
    <row r="96" spans="1:13">
      <c r="A96" s="467" t="s">
        <v>285</v>
      </c>
      <c r="B96" s="476"/>
      <c r="C96" s="157">
        <v>0</v>
      </c>
      <c r="D96" s="157">
        <v>0</v>
      </c>
      <c r="E96" s="157">
        <v>0</v>
      </c>
      <c r="F96" s="157">
        <v>0</v>
      </c>
      <c r="G96" s="157">
        <v>0</v>
      </c>
      <c r="H96" s="157">
        <v>0</v>
      </c>
      <c r="I96" s="157">
        <v>0</v>
      </c>
      <c r="J96" s="157">
        <v>0</v>
      </c>
      <c r="K96" s="157">
        <v>0</v>
      </c>
      <c r="L96" s="158">
        <v>0</v>
      </c>
    </row>
    <row r="97" spans="1:13">
      <c r="A97" s="467" t="s">
        <v>286</v>
      </c>
      <c r="B97" s="476"/>
      <c r="C97" s="157">
        <v>0</v>
      </c>
      <c r="D97" s="157">
        <v>0</v>
      </c>
      <c r="E97" s="157">
        <v>0</v>
      </c>
      <c r="F97" s="157">
        <v>0</v>
      </c>
      <c r="G97" s="157">
        <v>0</v>
      </c>
      <c r="H97" s="157">
        <v>0</v>
      </c>
      <c r="I97" s="157">
        <v>0</v>
      </c>
      <c r="J97" s="157">
        <v>0</v>
      </c>
      <c r="K97" s="157">
        <v>0</v>
      </c>
      <c r="L97" s="158">
        <v>0</v>
      </c>
    </row>
    <row r="98" spans="1:13">
      <c r="A98" s="471" t="s">
        <v>291</v>
      </c>
      <c r="B98" s="364"/>
      <c r="C98" s="157">
        <v>0</v>
      </c>
      <c r="D98" s="157">
        <v>0</v>
      </c>
      <c r="E98" s="157">
        <v>0</v>
      </c>
      <c r="F98" s="157">
        <v>0</v>
      </c>
      <c r="G98" s="157">
        <v>0</v>
      </c>
      <c r="H98" s="157">
        <v>0</v>
      </c>
      <c r="I98" s="157">
        <v>0</v>
      </c>
      <c r="J98" s="157">
        <v>0</v>
      </c>
      <c r="K98" s="157">
        <v>0</v>
      </c>
      <c r="L98" s="158">
        <v>0</v>
      </c>
    </row>
    <row r="99" spans="1:13">
      <c r="A99" s="474"/>
      <c r="B99" s="428"/>
      <c r="C99" s="477"/>
      <c r="D99" s="477"/>
      <c r="E99" s="477"/>
      <c r="F99" s="477"/>
      <c r="G99" s="477"/>
      <c r="H99" s="477"/>
      <c r="I99" s="477"/>
      <c r="J99" s="477"/>
      <c r="K99" s="477"/>
      <c r="L99" s="478"/>
    </row>
    <row r="100" spans="1:13" ht="15.6">
      <c r="A100" s="479" t="s">
        <v>279</v>
      </c>
      <c r="B100" s="480"/>
      <c r="C100" s="481"/>
      <c r="D100" s="481"/>
      <c r="E100" s="481"/>
      <c r="F100" s="481"/>
      <c r="G100" s="481"/>
      <c r="H100" s="481"/>
      <c r="I100" s="481"/>
      <c r="J100" s="481"/>
      <c r="K100" s="481"/>
      <c r="L100" s="482"/>
    </row>
    <row r="101" spans="1:13">
      <c r="A101" s="467" t="s">
        <v>264</v>
      </c>
      <c r="B101" s="480"/>
      <c r="C101" s="190">
        <v>0</v>
      </c>
      <c r="D101" s="483">
        <f>D$104*D105</f>
        <v>0</v>
      </c>
      <c r="E101" s="483">
        <f t="shared" ref="E101:L101" si="27">E$104*E105</f>
        <v>0</v>
      </c>
      <c r="F101" s="483">
        <f t="shared" si="27"/>
        <v>0</v>
      </c>
      <c r="G101" s="483">
        <f t="shared" si="27"/>
        <v>0</v>
      </c>
      <c r="H101" s="483">
        <f t="shared" si="27"/>
        <v>0</v>
      </c>
      <c r="I101" s="483">
        <f t="shared" si="27"/>
        <v>0</v>
      </c>
      <c r="J101" s="483">
        <f t="shared" si="27"/>
        <v>0</v>
      </c>
      <c r="K101" s="483">
        <f t="shared" si="27"/>
        <v>0</v>
      </c>
      <c r="L101" s="484">
        <f t="shared" si="27"/>
        <v>0</v>
      </c>
    </row>
    <row r="102" spans="1:13">
      <c r="A102" s="467" t="s">
        <v>265</v>
      </c>
      <c r="B102" s="480"/>
      <c r="C102" s="190">
        <v>0</v>
      </c>
      <c r="D102" s="483">
        <f t="shared" ref="D102:L103" si="28">D$104*D106</f>
        <v>0</v>
      </c>
      <c r="E102" s="483">
        <f t="shared" si="28"/>
        <v>0</v>
      </c>
      <c r="F102" s="483">
        <f t="shared" si="28"/>
        <v>0</v>
      </c>
      <c r="G102" s="483">
        <f t="shared" si="28"/>
        <v>0</v>
      </c>
      <c r="H102" s="483">
        <f t="shared" si="28"/>
        <v>0</v>
      </c>
      <c r="I102" s="483">
        <f t="shared" si="28"/>
        <v>0</v>
      </c>
      <c r="J102" s="483">
        <f t="shared" si="28"/>
        <v>0</v>
      </c>
      <c r="K102" s="483">
        <f t="shared" si="28"/>
        <v>0</v>
      </c>
      <c r="L102" s="484">
        <f t="shared" si="28"/>
        <v>0</v>
      </c>
    </row>
    <row r="103" spans="1:13">
      <c r="A103" s="467" t="s">
        <v>266</v>
      </c>
      <c r="B103" s="480"/>
      <c r="C103" s="190">
        <v>0</v>
      </c>
      <c r="D103" s="483">
        <f t="shared" si="28"/>
        <v>0</v>
      </c>
      <c r="E103" s="483">
        <f t="shared" si="28"/>
        <v>0</v>
      </c>
      <c r="F103" s="483">
        <f t="shared" si="28"/>
        <v>0</v>
      </c>
      <c r="G103" s="483">
        <f t="shared" si="28"/>
        <v>0</v>
      </c>
      <c r="H103" s="483">
        <f t="shared" si="28"/>
        <v>0</v>
      </c>
      <c r="I103" s="483">
        <f t="shared" si="28"/>
        <v>0</v>
      </c>
      <c r="J103" s="483">
        <f t="shared" si="28"/>
        <v>0</v>
      </c>
      <c r="K103" s="483">
        <f t="shared" si="28"/>
        <v>0</v>
      </c>
      <c r="L103" s="484">
        <f t="shared" si="28"/>
        <v>0</v>
      </c>
    </row>
    <row r="104" spans="1:13">
      <c r="A104" s="413" t="s">
        <v>270</v>
      </c>
      <c r="B104" s="485"/>
      <c r="C104" s="486">
        <f>SUM(C101:C103)</f>
        <v>0</v>
      </c>
      <c r="D104" s="486">
        <f t="shared" ref="D104:L104" si="29">C104*1.0275</f>
        <v>0</v>
      </c>
      <c r="E104" s="486">
        <f t="shared" si="29"/>
        <v>0</v>
      </c>
      <c r="F104" s="486">
        <f t="shared" si="29"/>
        <v>0</v>
      </c>
      <c r="G104" s="486">
        <f t="shared" si="29"/>
        <v>0</v>
      </c>
      <c r="H104" s="486">
        <f t="shared" si="29"/>
        <v>0</v>
      </c>
      <c r="I104" s="486">
        <f t="shared" si="29"/>
        <v>0</v>
      </c>
      <c r="J104" s="486">
        <f t="shared" si="29"/>
        <v>0</v>
      </c>
      <c r="K104" s="486">
        <f t="shared" si="29"/>
        <v>0</v>
      </c>
      <c r="L104" s="487">
        <f t="shared" si="29"/>
        <v>0</v>
      </c>
    </row>
    <row r="105" spans="1:13">
      <c r="A105" s="467" t="s">
        <v>271</v>
      </c>
      <c r="B105" s="476"/>
      <c r="C105" s="488">
        <f>IFERROR(C101/C$104,0)</f>
        <v>0</v>
      </c>
      <c r="D105" s="488">
        <f>IF(C105-0.04&lt;=0,0,C105-0.04)</f>
        <v>0</v>
      </c>
      <c r="E105" s="488">
        <f t="shared" ref="E105:L105" si="30">IF(D105-0.04&lt;=0,0,D105-0.04)</f>
        <v>0</v>
      </c>
      <c r="F105" s="488">
        <f t="shared" si="30"/>
        <v>0</v>
      </c>
      <c r="G105" s="488">
        <f t="shared" si="30"/>
        <v>0</v>
      </c>
      <c r="H105" s="488">
        <f t="shared" si="30"/>
        <v>0</v>
      </c>
      <c r="I105" s="488">
        <f t="shared" si="30"/>
        <v>0</v>
      </c>
      <c r="J105" s="488">
        <f t="shared" si="30"/>
        <v>0</v>
      </c>
      <c r="K105" s="488">
        <f t="shared" si="30"/>
        <v>0</v>
      </c>
      <c r="L105" s="489">
        <f t="shared" si="30"/>
        <v>0</v>
      </c>
    </row>
    <row r="106" spans="1:13">
      <c r="A106" s="467" t="s">
        <v>272</v>
      </c>
      <c r="B106" s="476"/>
      <c r="C106" s="488">
        <f>IFERROR(C102/C$104,0)</f>
        <v>0</v>
      </c>
      <c r="D106" s="488">
        <f>IF(C106-0.0025&lt;=0,0,C106-0.0025)</f>
        <v>0</v>
      </c>
      <c r="E106" s="488">
        <f t="shared" ref="E106:L106" si="31">IF(D106-0.0025&lt;=0,0,D106-0.0025)</f>
        <v>0</v>
      </c>
      <c r="F106" s="488">
        <f t="shared" si="31"/>
        <v>0</v>
      </c>
      <c r="G106" s="488">
        <f t="shared" si="31"/>
        <v>0</v>
      </c>
      <c r="H106" s="488">
        <f t="shared" si="31"/>
        <v>0</v>
      </c>
      <c r="I106" s="488">
        <f t="shared" si="31"/>
        <v>0</v>
      </c>
      <c r="J106" s="488">
        <f t="shared" si="31"/>
        <v>0</v>
      </c>
      <c r="K106" s="488">
        <f t="shared" si="31"/>
        <v>0</v>
      </c>
      <c r="L106" s="489">
        <f t="shared" si="31"/>
        <v>0</v>
      </c>
    </row>
    <row r="107" spans="1:13">
      <c r="A107" s="467" t="s">
        <v>273</v>
      </c>
      <c r="B107" s="476"/>
      <c r="C107" s="488">
        <f>IFERROR(C103/C$104,0)</f>
        <v>0</v>
      </c>
      <c r="D107" s="488">
        <f>IF(C106=0,0,IF(C106&lt;0.0025,C106,0.0025))+IF(C105=0,0,IF(C105&lt;0.04,C105,0.04))+C107</f>
        <v>0</v>
      </c>
      <c r="E107" s="488">
        <f t="shared" ref="E107:L107" si="32">IF(D106=0,0,IF(D106&lt;0.0025,D106,0.0025))+IF(D105=0,0,IF(D105&lt;0.04,D105,0.04))+D107</f>
        <v>0</v>
      </c>
      <c r="F107" s="488">
        <f t="shared" si="32"/>
        <v>0</v>
      </c>
      <c r="G107" s="488">
        <f t="shared" si="32"/>
        <v>0</v>
      </c>
      <c r="H107" s="488">
        <f t="shared" si="32"/>
        <v>0</v>
      </c>
      <c r="I107" s="488">
        <f t="shared" si="32"/>
        <v>0</v>
      </c>
      <c r="J107" s="488">
        <f t="shared" si="32"/>
        <v>0</v>
      </c>
      <c r="K107" s="488">
        <f t="shared" si="32"/>
        <v>0</v>
      </c>
      <c r="L107" s="489">
        <f t="shared" si="32"/>
        <v>0</v>
      </c>
    </row>
    <row r="108" spans="1:13">
      <c r="A108" s="467" t="s">
        <v>274</v>
      </c>
      <c r="B108" s="476"/>
      <c r="C108" s="488">
        <f>SUM(C105:C107)</f>
        <v>0</v>
      </c>
      <c r="D108" s="488">
        <f t="shared" ref="D108" si="33">SUM(D105:D107)</f>
        <v>0</v>
      </c>
      <c r="E108" s="488">
        <f t="shared" ref="E108" si="34">SUM(E105:E107)</f>
        <v>0</v>
      </c>
      <c r="F108" s="488">
        <f t="shared" ref="F108" si="35">SUM(F105:F107)</f>
        <v>0</v>
      </c>
      <c r="G108" s="488">
        <f t="shared" ref="G108" si="36">SUM(G105:G107)</f>
        <v>0</v>
      </c>
      <c r="H108" s="488">
        <f t="shared" ref="H108" si="37">SUM(H105:H107)</f>
        <v>0</v>
      </c>
      <c r="I108" s="488">
        <f t="shared" ref="I108" si="38">SUM(I105:I107)</f>
        <v>0</v>
      </c>
      <c r="J108" s="488">
        <f t="shared" ref="J108" si="39">SUM(J105:J107)</f>
        <v>0</v>
      </c>
      <c r="K108" s="488">
        <f t="shared" ref="K108" si="40">SUM(K105:K107)</f>
        <v>0</v>
      </c>
      <c r="L108" s="489">
        <f t="shared" ref="L108" si="41">SUM(L105:L107)</f>
        <v>0</v>
      </c>
    </row>
    <row r="109" spans="1:13">
      <c r="A109" s="467" t="s">
        <v>287</v>
      </c>
      <c r="B109" s="480"/>
      <c r="C109" s="52">
        <v>0</v>
      </c>
      <c r="D109" s="52">
        <v>0</v>
      </c>
      <c r="E109" s="52">
        <v>0</v>
      </c>
      <c r="F109" s="52">
        <v>0</v>
      </c>
      <c r="G109" s="490"/>
      <c r="H109" s="490"/>
      <c r="I109" s="490"/>
      <c r="J109" s="490"/>
      <c r="K109" s="490"/>
      <c r="L109" s="491"/>
      <c r="M109" s="492" t="s">
        <v>328</v>
      </c>
    </row>
    <row r="110" spans="1:13">
      <c r="A110" s="467" t="s">
        <v>267</v>
      </c>
      <c r="B110" s="476"/>
      <c r="C110" s="493"/>
      <c r="D110" s="494"/>
      <c r="E110" s="52">
        <v>0</v>
      </c>
      <c r="F110" s="52">
        <v>0</v>
      </c>
      <c r="G110" s="495">
        <f>F110</f>
        <v>0</v>
      </c>
      <c r="H110" s="495">
        <f t="shared" ref="H110:L110" si="42">G110</f>
        <v>0</v>
      </c>
      <c r="I110" s="495">
        <f t="shared" si="42"/>
        <v>0</v>
      </c>
      <c r="J110" s="495">
        <f t="shared" si="42"/>
        <v>0</v>
      </c>
      <c r="K110" s="495">
        <f t="shared" si="42"/>
        <v>0</v>
      </c>
      <c r="L110" s="496">
        <f t="shared" si="42"/>
        <v>0</v>
      </c>
    </row>
    <row r="111" spans="1:13">
      <c r="A111" s="467" t="s">
        <v>268</v>
      </c>
      <c r="B111" s="476"/>
      <c r="C111" s="493"/>
      <c r="D111" s="494"/>
      <c r="E111" s="52">
        <v>0</v>
      </c>
      <c r="F111" s="52">
        <v>0</v>
      </c>
      <c r="G111" s="495">
        <f t="shared" ref="G111:L111" si="43">F111</f>
        <v>0</v>
      </c>
      <c r="H111" s="495">
        <f t="shared" si="43"/>
        <v>0</v>
      </c>
      <c r="I111" s="495">
        <f t="shared" si="43"/>
        <v>0</v>
      </c>
      <c r="J111" s="495">
        <f t="shared" si="43"/>
        <v>0</v>
      </c>
      <c r="K111" s="495">
        <f t="shared" si="43"/>
        <v>0</v>
      </c>
      <c r="L111" s="496">
        <f t="shared" si="43"/>
        <v>0</v>
      </c>
    </row>
    <row r="112" spans="1:13">
      <c r="A112" s="467" t="s">
        <v>269</v>
      </c>
      <c r="B112" s="497"/>
      <c r="C112" s="490"/>
      <c r="D112" s="490"/>
      <c r="E112" s="52">
        <v>0</v>
      </c>
      <c r="F112" s="52">
        <v>0</v>
      </c>
      <c r="G112" s="495">
        <f t="shared" ref="G112:L115" si="44">F112</f>
        <v>0</v>
      </c>
      <c r="H112" s="495">
        <f t="shared" si="44"/>
        <v>0</v>
      </c>
      <c r="I112" s="495">
        <f t="shared" si="44"/>
        <v>0</v>
      </c>
      <c r="J112" s="495">
        <f t="shared" si="44"/>
        <v>0</v>
      </c>
      <c r="K112" s="495">
        <f t="shared" si="44"/>
        <v>0</v>
      </c>
      <c r="L112" s="496">
        <f t="shared" si="44"/>
        <v>0</v>
      </c>
    </row>
    <row r="113" spans="1:20">
      <c r="A113" s="471" t="s">
        <v>357</v>
      </c>
      <c r="B113" s="498"/>
      <c r="C113" s="157">
        <v>0</v>
      </c>
      <c r="D113" s="157">
        <v>0</v>
      </c>
      <c r="E113" s="157">
        <v>0</v>
      </c>
      <c r="F113" s="157">
        <v>0</v>
      </c>
      <c r="G113" s="495">
        <f t="shared" si="44"/>
        <v>0</v>
      </c>
      <c r="H113" s="495">
        <f t="shared" si="44"/>
        <v>0</v>
      </c>
      <c r="I113" s="495">
        <f t="shared" si="44"/>
        <v>0</v>
      </c>
      <c r="J113" s="495">
        <f t="shared" si="44"/>
        <v>0</v>
      </c>
      <c r="K113" s="495">
        <f t="shared" si="44"/>
        <v>0</v>
      </c>
      <c r="L113" s="496">
        <f t="shared" si="44"/>
        <v>0</v>
      </c>
    </row>
    <row r="114" spans="1:20">
      <c r="A114" s="471" t="s">
        <v>358</v>
      </c>
      <c r="B114" s="497"/>
      <c r="C114" s="157">
        <v>0</v>
      </c>
      <c r="D114" s="157">
        <v>0</v>
      </c>
      <c r="E114" s="157">
        <v>0</v>
      </c>
      <c r="F114" s="157">
        <v>0</v>
      </c>
      <c r="G114" s="495">
        <f t="shared" si="44"/>
        <v>0</v>
      </c>
      <c r="H114" s="495">
        <f t="shared" si="44"/>
        <v>0</v>
      </c>
      <c r="I114" s="495">
        <f t="shared" si="44"/>
        <v>0</v>
      </c>
      <c r="J114" s="495">
        <f t="shared" si="44"/>
        <v>0</v>
      </c>
      <c r="K114" s="495">
        <f t="shared" si="44"/>
        <v>0</v>
      </c>
      <c r="L114" s="496">
        <f t="shared" si="44"/>
        <v>0</v>
      </c>
    </row>
    <row r="115" spans="1:20">
      <c r="A115" s="471" t="s">
        <v>359</v>
      </c>
      <c r="B115" s="498"/>
      <c r="C115" s="157">
        <v>0</v>
      </c>
      <c r="D115" s="157">
        <v>0</v>
      </c>
      <c r="E115" s="157">
        <v>0</v>
      </c>
      <c r="F115" s="157">
        <v>0</v>
      </c>
      <c r="G115" s="495">
        <f t="shared" si="44"/>
        <v>0</v>
      </c>
      <c r="H115" s="495">
        <f t="shared" si="44"/>
        <v>0</v>
      </c>
      <c r="I115" s="495">
        <f t="shared" si="44"/>
        <v>0</v>
      </c>
      <c r="J115" s="495">
        <f t="shared" si="44"/>
        <v>0</v>
      </c>
      <c r="K115" s="495">
        <f t="shared" si="44"/>
        <v>0</v>
      </c>
      <c r="L115" s="496">
        <f t="shared" si="44"/>
        <v>0</v>
      </c>
    </row>
    <row r="116" spans="1:20">
      <c r="A116" s="499" t="s">
        <v>319</v>
      </c>
      <c r="B116" s="428"/>
      <c r="C116" s="495">
        <f>C110+C113</f>
        <v>0</v>
      </c>
      <c r="D116" s="495">
        <f t="shared" ref="D116:L116" si="45">D110+D113</f>
        <v>0</v>
      </c>
      <c r="E116" s="495">
        <f t="shared" si="45"/>
        <v>0</v>
      </c>
      <c r="F116" s="495">
        <f t="shared" si="45"/>
        <v>0</v>
      </c>
      <c r="G116" s="495">
        <f t="shared" si="45"/>
        <v>0</v>
      </c>
      <c r="H116" s="495">
        <f t="shared" si="45"/>
        <v>0</v>
      </c>
      <c r="I116" s="495">
        <f t="shared" si="45"/>
        <v>0</v>
      </c>
      <c r="J116" s="495">
        <f t="shared" si="45"/>
        <v>0</v>
      </c>
      <c r="K116" s="495">
        <f t="shared" si="45"/>
        <v>0</v>
      </c>
      <c r="L116" s="496">
        <f t="shared" si="45"/>
        <v>0</v>
      </c>
      <c r="N116" s="282"/>
      <c r="P116" s="492"/>
    </row>
    <row r="117" spans="1:20">
      <c r="A117" s="499" t="s">
        <v>320</v>
      </c>
      <c r="B117" s="428"/>
      <c r="C117" s="495">
        <f t="shared" ref="C117:L117" si="46">C111+C114</f>
        <v>0</v>
      </c>
      <c r="D117" s="495">
        <f t="shared" si="46"/>
        <v>0</v>
      </c>
      <c r="E117" s="495">
        <f t="shared" si="46"/>
        <v>0</v>
      </c>
      <c r="F117" s="495">
        <f t="shared" si="46"/>
        <v>0</v>
      </c>
      <c r="G117" s="495">
        <f t="shared" si="46"/>
        <v>0</v>
      </c>
      <c r="H117" s="495">
        <f t="shared" si="46"/>
        <v>0</v>
      </c>
      <c r="I117" s="495">
        <f t="shared" si="46"/>
        <v>0</v>
      </c>
      <c r="J117" s="495">
        <f t="shared" si="46"/>
        <v>0</v>
      </c>
      <c r="K117" s="495">
        <f t="shared" si="46"/>
        <v>0</v>
      </c>
      <c r="L117" s="496">
        <f t="shared" si="46"/>
        <v>0</v>
      </c>
      <c r="N117" s="282"/>
      <c r="P117" s="492"/>
    </row>
    <row r="118" spans="1:20">
      <c r="A118" s="499" t="s">
        <v>321</v>
      </c>
      <c r="B118" s="428"/>
      <c r="C118" s="495">
        <f t="shared" ref="C118:L118" si="47">C112+C115</f>
        <v>0</v>
      </c>
      <c r="D118" s="495">
        <f t="shared" si="47"/>
        <v>0</v>
      </c>
      <c r="E118" s="495">
        <f t="shared" si="47"/>
        <v>0</v>
      </c>
      <c r="F118" s="495">
        <f t="shared" si="47"/>
        <v>0</v>
      </c>
      <c r="G118" s="495">
        <f t="shared" si="47"/>
        <v>0</v>
      </c>
      <c r="H118" s="495">
        <f t="shared" si="47"/>
        <v>0</v>
      </c>
      <c r="I118" s="495">
        <f t="shared" si="47"/>
        <v>0</v>
      </c>
      <c r="J118" s="495">
        <f t="shared" si="47"/>
        <v>0</v>
      </c>
      <c r="K118" s="495">
        <f t="shared" si="47"/>
        <v>0</v>
      </c>
      <c r="L118" s="496">
        <f t="shared" si="47"/>
        <v>0</v>
      </c>
      <c r="N118" s="282" t="s">
        <v>277</v>
      </c>
      <c r="P118" s="492" t="s">
        <v>289</v>
      </c>
    </row>
    <row r="119" spans="1:20" ht="15" thickBot="1">
      <c r="A119" s="467" t="s">
        <v>234</v>
      </c>
      <c r="B119" s="480"/>
      <c r="C119" s="495">
        <f>C109</f>
        <v>0</v>
      </c>
      <c r="D119" s="495">
        <f>D109</f>
        <v>0</v>
      </c>
      <c r="E119" s="495">
        <f>E109</f>
        <v>0</v>
      </c>
      <c r="F119" s="500">
        <f>IF(F109&lt;&gt;"",F109,F116*C105+F117*C106+F118*C107)</f>
        <v>0</v>
      </c>
      <c r="G119" s="500">
        <f>IF(G109&lt;&gt;"",G109,G116*D105+G117*D106+G118*D107)</f>
        <v>0</v>
      </c>
      <c r="H119" s="500">
        <f t="shared" ref="H119:L119" si="48">IF(H109&lt;&gt;"",H109,H116*E105+H117*E106+H118*E107)</f>
        <v>0</v>
      </c>
      <c r="I119" s="500">
        <f t="shared" si="48"/>
        <v>0</v>
      </c>
      <c r="J119" s="500">
        <f t="shared" si="48"/>
        <v>0</v>
      </c>
      <c r="K119" s="500">
        <f t="shared" si="48"/>
        <v>0</v>
      </c>
      <c r="L119" s="501">
        <f t="shared" si="48"/>
        <v>0</v>
      </c>
      <c r="N119" s="282" t="s">
        <v>246</v>
      </c>
    </row>
    <row r="120" spans="1:20">
      <c r="A120" s="467" t="s">
        <v>235</v>
      </c>
      <c r="B120" s="480"/>
      <c r="C120" s="502"/>
      <c r="D120" s="502"/>
      <c r="E120" s="502"/>
      <c r="F120" s="502"/>
      <c r="G120" s="481">
        <f>IF(Disc_Rate2=0,0,0.0108*D105+0.008*0.85*D106+0.008*0.4*D107)</f>
        <v>0</v>
      </c>
      <c r="H120" s="481">
        <f>IF(Disc_Rate2=0,0,0.016*E105+0.016*0.85*E106+0.016*0.4*E107)</f>
        <v>0</v>
      </c>
      <c r="I120" s="481">
        <f>IF(Disc_Rate2=0,0,0.025*F105+0.025*0.85*F106+0.025*0.4*F107)</f>
        <v>0</v>
      </c>
      <c r="J120" s="481">
        <f>IF(Disc_Rate2=0,0,0.032*G105+0.032*0.85*G106+0.032*0.4*G107)</f>
        <v>0</v>
      </c>
      <c r="K120" s="481">
        <f>IF(Disc_Rate2=0,0,0.04*H105+0.04*0.85*H106+0.04*0.4*H107)</f>
        <v>0</v>
      </c>
      <c r="L120" s="482">
        <f>IF(Disc_Rate2=0,0,0.04*I105+0.04*0.85*I106+0.04*0.4*I107)</f>
        <v>0</v>
      </c>
      <c r="N120" s="503" t="s">
        <v>243</v>
      </c>
      <c r="O120" s="245" t="s">
        <v>225</v>
      </c>
      <c r="P120" s="245" t="s">
        <v>5</v>
      </c>
      <c r="Q120" s="245" t="s">
        <v>226</v>
      </c>
      <c r="R120" s="245" t="s">
        <v>227</v>
      </c>
      <c r="S120" s="245" t="s">
        <v>228</v>
      </c>
      <c r="T120" s="246" t="s">
        <v>229</v>
      </c>
    </row>
    <row r="121" spans="1:20">
      <c r="A121" s="413" t="s">
        <v>276</v>
      </c>
      <c r="B121" s="504"/>
      <c r="C121" s="505">
        <f t="shared" ref="C121:E121" si="49">C120+C119</f>
        <v>0</v>
      </c>
      <c r="D121" s="505">
        <f t="shared" si="49"/>
        <v>0</v>
      </c>
      <c r="E121" s="505">
        <f t="shared" si="49"/>
        <v>0</v>
      </c>
      <c r="F121" s="505">
        <f t="shared" ref="F121" si="50">F120+F119</f>
        <v>0</v>
      </c>
      <c r="G121" s="505">
        <f t="shared" ref="G121" si="51">G120+G119</f>
        <v>0</v>
      </c>
      <c r="H121" s="505">
        <f t="shared" ref="H121" si="52">H120+H119</f>
        <v>0</v>
      </c>
      <c r="I121" s="505">
        <f t="shared" ref="I121" si="53">I120+I119</f>
        <v>0</v>
      </c>
      <c r="J121" s="505">
        <f t="shared" ref="J121" si="54">J120+J119</f>
        <v>0</v>
      </c>
      <c r="K121" s="505">
        <f t="shared" ref="K121" si="55">K120+K119</f>
        <v>0</v>
      </c>
      <c r="L121" s="506">
        <f>L120+L119</f>
        <v>0</v>
      </c>
      <c r="N121" s="474" t="s">
        <v>56</v>
      </c>
      <c r="O121" s="507">
        <v>2E-3</v>
      </c>
      <c r="P121" s="507">
        <v>0.04</v>
      </c>
      <c r="Q121" s="507">
        <v>7.0000000000000007E-2</v>
      </c>
      <c r="R121" s="507">
        <v>0.09</v>
      </c>
      <c r="S121" s="507">
        <v>0.12</v>
      </c>
      <c r="T121" s="508">
        <v>0.15</v>
      </c>
    </row>
    <row r="122" spans="1:20">
      <c r="A122" s="467" t="s">
        <v>231</v>
      </c>
      <c r="B122" s="480"/>
      <c r="C122" s="190">
        <v>0</v>
      </c>
      <c r="D122" s="190">
        <v>0</v>
      </c>
      <c r="E122" s="190">
        <v>0</v>
      </c>
      <c r="F122" s="190">
        <v>0</v>
      </c>
      <c r="G122" s="190">
        <v>0</v>
      </c>
      <c r="H122" s="190">
        <v>0</v>
      </c>
      <c r="I122" s="190">
        <v>0</v>
      </c>
      <c r="J122" s="190">
        <v>0</v>
      </c>
      <c r="K122" s="190">
        <v>0</v>
      </c>
      <c r="L122" s="191">
        <v>0</v>
      </c>
      <c r="N122" s="474" t="s">
        <v>224</v>
      </c>
      <c r="O122" s="507">
        <v>2E-3</v>
      </c>
      <c r="P122" s="507">
        <v>0.06</v>
      </c>
      <c r="Q122" s="507">
        <v>0.1</v>
      </c>
      <c r="R122" s="507">
        <v>0.14000000000000001</v>
      </c>
      <c r="S122" s="507">
        <v>0.18</v>
      </c>
      <c r="T122" s="508">
        <v>0.22</v>
      </c>
    </row>
    <row r="123" spans="1:20" ht="15" thickBot="1">
      <c r="A123" s="467" t="s">
        <v>245</v>
      </c>
      <c r="B123" s="480"/>
      <c r="C123" s="509">
        <f>IF(C94&lt;&gt;0,IF(Invest_Return_Profile=1,C94*(C104/(C104+C135)),IF(Invest_Return_Profile=2,C94*(C104/(C104+C135)),C94*(C104/(C104+C135)))),C122)</f>
        <v>0</v>
      </c>
      <c r="D123" s="509">
        <f>IF(D94&lt;&gt;0,IF(Invest_Return_Profile=1,D94*(D104/(D104+D135)),IF(Invest_Return_Profile=2,D94*(D104/(D104+D135)),D94*(D104/(D104+D135)))),D122)</f>
        <v>0</v>
      </c>
      <c r="E123" s="509">
        <f>IF(E94&lt;&gt;0,IF(Invest_Return_Profile=1,E94*(E104/(E104+E135)),IF(Invest_Return_Profile=2,E94*(E104/(E104+E135)),E94*(E104/(E104+E135)))),E122)</f>
        <v>0</v>
      </c>
      <c r="F123" s="509">
        <f>IF(F94&lt;&gt;0,IF(Invest_Return_Profile=1,F94*(F104/(F104+F135)),IF(Invest_Return_Profile=2,F94*(F104/(F104+F135)),F94*(F104/(F104+F135)))),F122)</f>
        <v>0</v>
      </c>
      <c r="G123" s="510">
        <f t="shared" ref="G123:L123" si="56">IF(G94&lt;&gt;0,IF(Invest_Return_Profile=1,G94*(1+O$121)*(G101/(G101+G132)),IF(Invest_Return_Profile=2,G94*(1+O$122)*(G101/(G101+G132)),G94*(1+O$123)*(G101/(G101+G132)))),IF(Invest_Return_Profile=1,G122*(1+O$121),IF(Invest_Return_Profile=2,G122*(1+O$122),G122*(1+O$123))))</f>
        <v>0</v>
      </c>
      <c r="H123" s="510">
        <f t="shared" si="56"/>
        <v>0</v>
      </c>
      <c r="I123" s="510">
        <f t="shared" si="56"/>
        <v>0</v>
      </c>
      <c r="J123" s="510">
        <f t="shared" si="56"/>
        <v>0</v>
      </c>
      <c r="K123" s="510">
        <f t="shared" si="56"/>
        <v>0</v>
      </c>
      <c r="L123" s="511">
        <f t="shared" si="56"/>
        <v>0</v>
      </c>
      <c r="N123" s="512" t="s">
        <v>38</v>
      </c>
      <c r="O123" s="513">
        <v>2E-3</v>
      </c>
      <c r="P123" s="513">
        <v>0.08</v>
      </c>
      <c r="Q123" s="513">
        <v>0.13</v>
      </c>
      <c r="R123" s="513">
        <v>0.17</v>
      </c>
      <c r="S123" s="513">
        <v>0.23</v>
      </c>
      <c r="T123" s="514">
        <v>0.28000000000000003</v>
      </c>
    </row>
    <row r="124" spans="1:20">
      <c r="A124" s="467" t="s">
        <v>233</v>
      </c>
      <c r="B124" s="480"/>
      <c r="C124" s="515"/>
      <c r="D124" s="515"/>
      <c r="E124" s="515"/>
      <c r="F124" s="515"/>
      <c r="G124" s="509">
        <f>IF(Disc_Rate2=1,G123*0.012,0)</f>
        <v>0</v>
      </c>
      <c r="H124" s="509">
        <f>IF(Disc_Rate2=1,H123*0.019,0)</f>
        <v>0</v>
      </c>
      <c r="I124" s="509">
        <f>IF(Disc_Rate2=1,I22*0.024,0)</f>
        <v>0</v>
      </c>
      <c r="J124" s="509">
        <f>IF(Disc_Rate2=1,J123*0.027,0)</f>
        <v>0</v>
      </c>
      <c r="K124" s="509">
        <f>IF(Disc_Rate2=1,K123*0.03,0)</f>
        <v>0</v>
      </c>
      <c r="L124" s="516">
        <f>IF(Disc_Rate2=1,L123*0.02,0)</f>
        <v>0</v>
      </c>
      <c r="N124" s="264" t="s">
        <v>237</v>
      </c>
    </row>
    <row r="125" spans="1:20">
      <c r="A125" s="467" t="s">
        <v>263</v>
      </c>
      <c r="B125" s="480"/>
      <c r="C125" s="510">
        <f t="shared" ref="C125:L125" si="57">(C124+C123)/IF(UAL_prepay=0,1,1.033)</f>
        <v>0</v>
      </c>
      <c r="D125" s="510">
        <f t="shared" si="57"/>
        <v>0</v>
      </c>
      <c r="E125" s="510">
        <f t="shared" si="57"/>
        <v>0</v>
      </c>
      <c r="F125" s="510">
        <f t="shared" si="57"/>
        <v>0</v>
      </c>
      <c r="G125" s="510">
        <f>(G124+G123)/IF(UAL_prepay=0,1,1.033)</f>
        <v>0</v>
      </c>
      <c r="H125" s="510">
        <f t="shared" si="57"/>
        <v>0</v>
      </c>
      <c r="I125" s="510">
        <f t="shared" si="57"/>
        <v>0</v>
      </c>
      <c r="J125" s="510">
        <f t="shared" si="57"/>
        <v>0</v>
      </c>
      <c r="K125" s="510">
        <f t="shared" si="57"/>
        <v>0</v>
      </c>
      <c r="L125" s="511">
        <f t="shared" si="57"/>
        <v>0</v>
      </c>
      <c r="N125" s="264" t="s">
        <v>238</v>
      </c>
    </row>
    <row r="126" spans="1:20">
      <c r="A126" s="467" t="s">
        <v>284</v>
      </c>
      <c r="B126" s="480"/>
      <c r="C126" s="510">
        <f t="shared" ref="C126:L126" si="58">C95*-C104</f>
        <v>0</v>
      </c>
      <c r="D126" s="510">
        <f t="shared" si="58"/>
        <v>0</v>
      </c>
      <c r="E126" s="510">
        <f t="shared" si="58"/>
        <v>0</v>
      </c>
      <c r="F126" s="510">
        <f t="shared" si="58"/>
        <v>0</v>
      </c>
      <c r="G126" s="510">
        <f t="shared" si="58"/>
        <v>0</v>
      </c>
      <c r="H126" s="510">
        <f t="shared" si="58"/>
        <v>0</v>
      </c>
      <c r="I126" s="510">
        <f t="shared" si="58"/>
        <v>0</v>
      </c>
      <c r="J126" s="510">
        <f t="shared" si="58"/>
        <v>0</v>
      </c>
      <c r="K126" s="510">
        <f t="shared" si="58"/>
        <v>0</v>
      </c>
      <c r="L126" s="511">
        <f t="shared" si="58"/>
        <v>0</v>
      </c>
      <c r="N126" s="264" t="s">
        <v>242</v>
      </c>
    </row>
    <row r="127" spans="1:20">
      <c r="A127" s="467" t="s">
        <v>294</v>
      </c>
      <c r="B127" s="480"/>
      <c r="C127" s="510">
        <f t="shared" ref="C127:L127" si="59">C$98*C104</f>
        <v>0</v>
      </c>
      <c r="D127" s="510">
        <f t="shared" si="59"/>
        <v>0</v>
      </c>
      <c r="E127" s="510">
        <f t="shared" si="59"/>
        <v>0</v>
      </c>
      <c r="F127" s="510">
        <f t="shared" si="59"/>
        <v>0</v>
      </c>
      <c r="G127" s="510">
        <f t="shared" si="59"/>
        <v>0</v>
      </c>
      <c r="H127" s="510">
        <f t="shared" si="59"/>
        <v>0</v>
      </c>
      <c r="I127" s="510">
        <f t="shared" si="59"/>
        <v>0</v>
      </c>
      <c r="J127" s="510">
        <f t="shared" si="59"/>
        <v>0</v>
      </c>
      <c r="K127" s="510">
        <f t="shared" si="59"/>
        <v>0</v>
      </c>
      <c r="L127" s="511">
        <f t="shared" si="59"/>
        <v>0</v>
      </c>
    </row>
    <row r="128" spans="1:20">
      <c r="A128" s="413" t="s">
        <v>244</v>
      </c>
      <c r="B128" s="517"/>
      <c r="C128" s="518">
        <f>IFERROR((C125+C126+C127)/C104,0)</f>
        <v>0</v>
      </c>
      <c r="D128" s="518">
        <f t="shared" ref="D128:L128" si="60">IFERROR((D125+D126+D127)/D104,0)</f>
        <v>0</v>
      </c>
      <c r="E128" s="518">
        <f t="shared" si="60"/>
        <v>0</v>
      </c>
      <c r="F128" s="518">
        <f t="shared" si="60"/>
        <v>0</v>
      </c>
      <c r="G128" s="518">
        <f t="shared" si="60"/>
        <v>0</v>
      </c>
      <c r="H128" s="518">
        <f t="shared" si="60"/>
        <v>0</v>
      </c>
      <c r="I128" s="518">
        <f t="shared" si="60"/>
        <v>0</v>
      </c>
      <c r="J128" s="518">
        <f t="shared" si="60"/>
        <v>0</v>
      </c>
      <c r="K128" s="518">
        <f t="shared" si="60"/>
        <v>0</v>
      </c>
      <c r="L128" s="506">
        <f t="shared" si="60"/>
        <v>0</v>
      </c>
    </row>
    <row r="129" spans="1:20" ht="15" thickBot="1">
      <c r="A129" s="519" t="s">
        <v>281</v>
      </c>
      <c r="B129" s="520"/>
      <c r="C129" s="521">
        <f>C128+C121</f>
        <v>0</v>
      </c>
      <c r="D129" s="521">
        <f t="shared" ref="D129" si="61">D128+D121</f>
        <v>0</v>
      </c>
      <c r="E129" s="521">
        <f t="shared" ref="E129" si="62">E128+E121</f>
        <v>0</v>
      </c>
      <c r="F129" s="521">
        <f t="shared" ref="F129" si="63">F128+F121</f>
        <v>0</v>
      </c>
      <c r="G129" s="521">
        <f t="shared" ref="G129" si="64">G128+G121</f>
        <v>0</v>
      </c>
      <c r="H129" s="521">
        <f t="shared" ref="H129" si="65">H128+H121</f>
        <v>0</v>
      </c>
      <c r="I129" s="521">
        <f t="shared" ref="I129" si="66">I128+I121</f>
        <v>0</v>
      </c>
      <c r="J129" s="521">
        <f t="shared" ref="J129" si="67">J128+J121</f>
        <v>0</v>
      </c>
      <c r="K129" s="521">
        <f t="shared" ref="K129" si="68">K128+K121</f>
        <v>0</v>
      </c>
      <c r="L129" s="522">
        <f t="shared" ref="L129" si="69">L128+L121</f>
        <v>0</v>
      </c>
    </row>
    <row r="130" spans="1:20">
      <c r="A130" s="413"/>
      <c r="B130" s="476"/>
      <c r="C130" s="523"/>
      <c r="D130" s="523"/>
      <c r="E130" s="523"/>
      <c r="F130" s="523"/>
      <c r="G130" s="523"/>
      <c r="H130" s="523"/>
      <c r="I130" s="523"/>
      <c r="J130" s="523"/>
      <c r="K130" s="523"/>
      <c r="L130" s="524"/>
    </row>
    <row r="131" spans="1:20" ht="15.6">
      <c r="A131" s="479" t="s">
        <v>222</v>
      </c>
      <c r="B131" s="476"/>
      <c r="C131" s="523"/>
      <c r="D131" s="523"/>
      <c r="E131" s="523"/>
      <c r="F131" s="523"/>
      <c r="G131" s="523"/>
      <c r="H131" s="523"/>
      <c r="I131" s="523"/>
      <c r="J131" s="523"/>
      <c r="K131" s="523"/>
      <c r="L131" s="524"/>
    </row>
    <row r="132" spans="1:20">
      <c r="A132" s="467" t="s">
        <v>264</v>
      </c>
      <c r="B132" s="476"/>
      <c r="C132" s="190">
        <v>0</v>
      </c>
      <c r="D132" s="483">
        <f>D$135*D136</f>
        <v>0</v>
      </c>
      <c r="E132" s="483">
        <f t="shared" ref="E132:L132" si="70">E$135*E136</f>
        <v>0</v>
      </c>
      <c r="F132" s="483">
        <f t="shared" si="70"/>
        <v>0</v>
      </c>
      <c r="G132" s="483">
        <f t="shared" si="70"/>
        <v>0</v>
      </c>
      <c r="H132" s="483">
        <f t="shared" si="70"/>
        <v>0</v>
      </c>
      <c r="I132" s="483">
        <f t="shared" si="70"/>
        <v>0</v>
      </c>
      <c r="J132" s="483">
        <f t="shared" si="70"/>
        <v>0</v>
      </c>
      <c r="K132" s="483">
        <f t="shared" si="70"/>
        <v>0</v>
      </c>
      <c r="L132" s="484">
        <f t="shared" si="70"/>
        <v>0</v>
      </c>
    </row>
    <row r="133" spans="1:20">
      <c r="A133" s="467" t="s">
        <v>265</v>
      </c>
      <c r="B133" s="476"/>
      <c r="C133" s="190">
        <v>0</v>
      </c>
      <c r="D133" s="483">
        <f t="shared" ref="D133:L134" si="71">D$135*D137</f>
        <v>0</v>
      </c>
      <c r="E133" s="483">
        <f t="shared" si="71"/>
        <v>0</v>
      </c>
      <c r="F133" s="483">
        <f t="shared" si="71"/>
        <v>0</v>
      </c>
      <c r="G133" s="483">
        <f t="shared" si="71"/>
        <v>0</v>
      </c>
      <c r="H133" s="483">
        <f t="shared" si="71"/>
        <v>0</v>
      </c>
      <c r="I133" s="483">
        <f t="shared" si="71"/>
        <v>0</v>
      </c>
      <c r="J133" s="483">
        <f t="shared" si="71"/>
        <v>0</v>
      </c>
      <c r="K133" s="483">
        <f t="shared" si="71"/>
        <v>0</v>
      </c>
      <c r="L133" s="484">
        <f t="shared" si="71"/>
        <v>0</v>
      </c>
    </row>
    <row r="134" spans="1:20">
      <c r="A134" s="467" t="s">
        <v>266</v>
      </c>
      <c r="B134" s="476"/>
      <c r="C134" s="190">
        <v>0</v>
      </c>
      <c r="D134" s="483">
        <f t="shared" si="71"/>
        <v>0</v>
      </c>
      <c r="E134" s="483">
        <f t="shared" si="71"/>
        <v>0</v>
      </c>
      <c r="F134" s="483">
        <f t="shared" si="71"/>
        <v>0</v>
      </c>
      <c r="G134" s="483">
        <f t="shared" si="71"/>
        <v>0</v>
      </c>
      <c r="H134" s="483">
        <f t="shared" si="71"/>
        <v>0</v>
      </c>
      <c r="I134" s="483">
        <f t="shared" si="71"/>
        <v>0</v>
      </c>
      <c r="J134" s="483">
        <f t="shared" si="71"/>
        <v>0</v>
      </c>
      <c r="K134" s="483">
        <f t="shared" si="71"/>
        <v>0</v>
      </c>
      <c r="L134" s="484">
        <f t="shared" si="71"/>
        <v>0</v>
      </c>
    </row>
    <row r="135" spans="1:20">
      <c r="A135" s="413" t="s">
        <v>270</v>
      </c>
      <c r="B135" s="485"/>
      <c r="C135" s="486">
        <f>SUM(C132:C134)</f>
        <v>0</v>
      </c>
      <c r="D135" s="486">
        <f t="shared" ref="D135:L135" si="72">C135*1.0275</f>
        <v>0</v>
      </c>
      <c r="E135" s="486">
        <f t="shared" si="72"/>
        <v>0</v>
      </c>
      <c r="F135" s="486">
        <f t="shared" si="72"/>
        <v>0</v>
      </c>
      <c r="G135" s="486">
        <f t="shared" si="72"/>
        <v>0</v>
      </c>
      <c r="H135" s="486">
        <f t="shared" si="72"/>
        <v>0</v>
      </c>
      <c r="I135" s="486">
        <f t="shared" si="72"/>
        <v>0</v>
      </c>
      <c r="J135" s="486">
        <f t="shared" si="72"/>
        <v>0</v>
      </c>
      <c r="K135" s="486">
        <f t="shared" si="72"/>
        <v>0</v>
      </c>
      <c r="L135" s="487">
        <f t="shared" si="72"/>
        <v>0</v>
      </c>
    </row>
    <row r="136" spans="1:20">
      <c r="A136" s="467" t="s">
        <v>271</v>
      </c>
      <c r="B136" s="476"/>
      <c r="C136" s="488">
        <f>IFERROR(C132/C$135,0)</f>
        <v>0</v>
      </c>
      <c r="D136" s="488">
        <f>IF(C136-0.04&lt;=0,0,C136-0.04)</f>
        <v>0</v>
      </c>
      <c r="E136" s="488">
        <f t="shared" ref="E136:L136" si="73">IF(D136-0.04&lt;=0,0,D136-0.04)</f>
        <v>0</v>
      </c>
      <c r="F136" s="488">
        <f t="shared" si="73"/>
        <v>0</v>
      </c>
      <c r="G136" s="488">
        <f t="shared" si="73"/>
        <v>0</v>
      </c>
      <c r="H136" s="488">
        <f t="shared" si="73"/>
        <v>0</v>
      </c>
      <c r="I136" s="488">
        <f t="shared" si="73"/>
        <v>0</v>
      </c>
      <c r="J136" s="488">
        <f t="shared" si="73"/>
        <v>0</v>
      </c>
      <c r="K136" s="488">
        <f t="shared" si="73"/>
        <v>0</v>
      </c>
      <c r="L136" s="489">
        <f t="shared" si="73"/>
        <v>0</v>
      </c>
    </row>
    <row r="137" spans="1:20">
      <c r="A137" s="467" t="s">
        <v>272</v>
      </c>
      <c r="B137" s="476"/>
      <c r="C137" s="488">
        <f>IFERROR(C133/C$135,0)</f>
        <v>0</v>
      </c>
      <c r="D137" s="488">
        <f>IF(C137-0.0025&lt;=0,0,C137-0.0025)</f>
        <v>0</v>
      </c>
      <c r="E137" s="488">
        <f t="shared" ref="E137:L137" si="74">IF(D137-0.0025&lt;=0,0,D137-0.0025)</f>
        <v>0</v>
      </c>
      <c r="F137" s="488">
        <f t="shared" si="74"/>
        <v>0</v>
      </c>
      <c r="G137" s="488">
        <f t="shared" si="74"/>
        <v>0</v>
      </c>
      <c r="H137" s="488">
        <f t="shared" si="74"/>
        <v>0</v>
      </c>
      <c r="I137" s="488">
        <f t="shared" si="74"/>
        <v>0</v>
      </c>
      <c r="J137" s="488">
        <f t="shared" si="74"/>
        <v>0</v>
      </c>
      <c r="K137" s="488">
        <f t="shared" si="74"/>
        <v>0</v>
      </c>
      <c r="L137" s="489">
        <f t="shared" si="74"/>
        <v>0</v>
      </c>
    </row>
    <row r="138" spans="1:20">
      <c r="A138" s="467" t="s">
        <v>273</v>
      </c>
      <c r="B138" s="476"/>
      <c r="C138" s="488">
        <f>IFERROR(C134/C$135,0)</f>
        <v>0</v>
      </c>
      <c r="D138" s="488">
        <f>IF(C137=0,0,IF(C137&lt;0.0025,C137,0.0025))+IF(C136=0,0,IF(C136&lt;0.04,C136,0.04))+C138</f>
        <v>0</v>
      </c>
      <c r="E138" s="488">
        <f t="shared" ref="E138:L138" si="75">IF(D137=0,0,IF(D137&lt;0.0025,D137,0.0025))+IF(D136=0,0,IF(D136&lt;0.04,D136,0.04))+D138</f>
        <v>0</v>
      </c>
      <c r="F138" s="488">
        <f t="shared" si="75"/>
        <v>0</v>
      </c>
      <c r="G138" s="488">
        <f t="shared" si="75"/>
        <v>0</v>
      </c>
      <c r="H138" s="488">
        <f t="shared" si="75"/>
        <v>0</v>
      </c>
      <c r="I138" s="488">
        <f t="shared" si="75"/>
        <v>0</v>
      </c>
      <c r="J138" s="488">
        <f t="shared" si="75"/>
        <v>0</v>
      </c>
      <c r="K138" s="488">
        <f t="shared" si="75"/>
        <v>0</v>
      </c>
      <c r="L138" s="489">
        <f t="shared" si="75"/>
        <v>0</v>
      </c>
    </row>
    <row r="139" spans="1:20">
      <c r="A139" s="467" t="s">
        <v>274</v>
      </c>
      <c r="B139" s="476"/>
      <c r="C139" s="488">
        <f>SUM(C136:C138)</f>
        <v>0</v>
      </c>
      <c r="D139" s="488">
        <f t="shared" ref="D139:L139" si="76">SUM(D136:D138)</f>
        <v>0</v>
      </c>
      <c r="E139" s="488">
        <f t="shared" si="76"/>
        <v>0</v>
      </c>
      <c r="F139" s="488">
        <f t="shared" si="76"/>
        <v>0</v>
      </c>
      <c r="G139" s="488">
        <f t="shared" si="76"/>
        <v>0</v>
      </c>
      <c r="H139" s="488">
        <f t="shared" si="76"/>
        <v>0</v>
      </c>
      <c r="I139" s="488">
        <f t="shared" si="76"/>
        <v>0</v>
      </c>
      <c r="J139" s="488">
        <f t="shared" si="76"/>
        <v>0</v>
      </c>
      <c r="K139" s="488">
        <f t="shared" si="76"/>
        <v>0</v>
      </c>
      <c r="L139" s="489">
        <f t="shared" si="76"/>
        <v>0</v>
      </c>
    </row>
    <row r="140" spans="1:20">
      <c r="A140" s="467" t="s">
        <v>287</v>
      </c>
      <c r="B140" s="476"/>
      <c r="C140" s="52">
        <v>0</v>
      </c>
      <c r="D140" s="52">
        <v>0</v>
      </c>
      <c r="E140" s="52">
        <v>0</v>
      </c>
      <c r="F140" s="52">
        <v>0</v>
      </c>
      <c r="G140" s="490"/>
      <c r="H140" s="490"/>
      <c r="I140" s="490"/>
      <c r="J140" s="490"/>
      <c r="K140" s="490"/>
      <c r="L140" s="491"/>
      <c r="M140" s="492" t="s">
        <v>328</v>
      </c>
    </row>
    <row r="141" spans="1:20">
      <c r="A141" s="467" t="s">
        <v>267</v>
      </c>
      <c r="B141" s="476"/>
      <c r="C141" s="493"/>
      <c r="D141" s="494"/>
      <c r="E141" s="52">
        <v>0</v>
      </c>
      <c r="F141" s="52">
        <v>0</v>
      </c>
      <c r="G141" s="495">
        <f>F141</f>
        <v>0</v>
      </c>
      <c r="H141" s="495">
        <f t="shared" ref="H141:L141" si="77">G141</f>
        <v>0</v>
      </c>
      <c r="I141" s="495">
        <f t="shared" si="77"/>
        <v>0</v>
      </c>
      <c r="J141" s="495">
        <f t="shared" si="77"/>
        <v>0</v>
      </c>
      <c r="K141" s="495">
        <f t="shared" si="77"/>
        <v>0</v>
      </c>
      <c r="L141" s="496">
        <f t="shared" si="77"/>
        <v>0</v>
      </c>
    </row>
    <row r="142" spans="1:20">
      <c r="A142" s="467" t="s">
        <v>268</v>
      </c>
      <c r="B142" s="476"/>
      <c r="C142" s="493"/>
      <c r="D142" s="494"/>
      <c r="E142" s="52">
        <v>0</v>
      </c>
      <c r="F142" s="52">
        <v>0</v>
      </c>
      <c r="G142" s="495">
        <f t="shared" ref="G142:L146" si="78">F142</f>
        <v>0</v>
      </c>
      <c r="H142" s="495">
        <f t="shared" si="78"/>
        <v>0</v>
      </c>
      <c r="I142" s="495">
        <f t="shared" si="78"/>
        <v>0</v>
      </c>
      <c r="J142" s="495">
        <f t="shared" si="78"/>
        <v>0</v>
      </c>
      <c r="K142" s="495">
        <f t="shared" si="78"/>
        <v>0</v>
      </c>
      <c r="L142" s="496">
        <f t="shared" si="78"/>
        <v>0</v>
      </c>
    </row>
    <row r="143" spans="1:20">
      <c r="A143" s="467" t="s">
        <v>269</v>
      </c>
      <c r="B143" s="476"/>
      <c r="C143" s="490"/>
      <c r="D143" s="490"/>
      <c r="E143" s="52">
        <v>0</v>
      </c>
      <c r="F143" s="52">
        <v>0</v>
      </c>
      <c r="G143" s="495">
        <f t="shared" si="78"/>
        <v>0</v>
      </c>
      <c r="H143" s="495">
        <f t="shared" si="78"/>
        <v>0</v>
      </c>
      <c r="I143" s="495">
        <f t="shared" si="78"/>
        <v>0</v>
      </c>
      <c r="J143" s="495">
        <f t="shared" si="78"/>
        <v>0</v>
      </c>
      <c r="K143" s="495">
        <f t="shared" si="78"/>
        <v>0</v>
      </c>
      <c r="L143" s="496">
        <f t="shared" si="78"/>
        <v>0</v>
      </c>
    </row>
    <row r="144" spans="1:20">
      <c r="A144" s="471" t="s">
        <v>351</v>
      </c>
      <c r="B144" s="498"/>
      <c r="C144" s="157">
        <v>0</v>
      </c>
      <c r="D144" s="157">
        <v>0</v>
      </c>
      <c r="E144" s="157">
        <v>0</v>
      </c>
      <c r="F144" s="157">
        <v>0</v>
      </c>
      <c r="G144" s="495">
        <f t="shared" si="78"/>
        <v>0</v>
      </c>
      <c r="H144" s="495">
        <f t="shared" si="78"/>
        <v>0</v>
      </c>
      <c r="I144" s="495">
        <f t="shared" si="78"/>
        <v>0</v>
      </c>
      <c r="J144" s="495">
        <f t="shared" si="78"/>
        <v>0</v>
      </c>
      <c r="K144" s="495">
        <f t="shared" si="78"/>
        <v>0</v>
      </c>
      <c r="L144" s="496">
        <f t="shared" si="78"/>
        <v>0</v>
      </c>
    </row>
    <row r="145" spans="1:12">
      <c r="A145" s="471" t="s">
        <v>352</v>
      </c>
      <c r="B145" s="497"/>
      <c r="C145" s="157">
        <v>0</v>
      </c>
      <c r="D145" s="157">
        <v>0</v>
      </c>
      <c r="E145" s="157">
        <v>0</v>
      </c>
      <c r="F145" s="157">
        <v>0</v>
      </c>
      <c r="G145" s="495">
        <f t="shared" si="78"/>
        <v>0</v>
      </c>
      <c r="H145" s="495">
        <f t="shared" si="78"/>
        <v>0</v>
      </c>
      <c r="I145" s="495">
        <f t="shared" si="78"/>
        <v>0</v>
      </c>
      <c r="J145" s="495">
        <f t="shared" si="78"/>
        <v>0</v>
      </c>
      <c r="K145" s="495">
        <f t="shared" si="78"/>
        <v>0</v>
      </c>
      <c r="L145" s="496">
        <f t="shared" si="78"/>
        <v>0</v>
      </c>
    </row>
    <row r="146" spans="1:12">
      <c r="A146" s="471" t="s">
        <v>353</v>
      </c>
      <c r="B146" s="498"/>
      <c r="C146" s="157">
        <v>0</v>
      </c>
      <c r="D146" s="157">
        <v>0</v>
      </c>
      <c r="E146" s="157">
        <v>0</v>
      </c>
      <c r="F146" s="157">
        <v>0</v>
      </c>
      <c r="G146" s="495">
        <f t="shared" si="78"/>
        <v>0</v>
      </c>
      <c r="H146" s="495">
        <f t="shared" si="78"/>
        <v>0</v>
      </c>
      <c r="I146" s="495">
        <f t="shared" si="78"/>
        <v>0</v>
      </c>
      <c r="J146" s="495">
        <f t="shared" si="78"/>
        <v>0</v>
      </c>
      <c r="K146" s="495">
        <f t="shared" si="78"/>
        <v>0</v>
      </c>
      <c r="L146" s="496">
        <f t="shared" si="78"/>
        <v>0</v>
      </c>
    </row>
    <row r="147" spans="1:12">
      <c r="A147" s="499" t="s">
        <v>322</v>
      </c>
      <c r="B147" s="428"/>
      <c r="C147" s="495">
        <f>C141+C144</f>
        <v>0</v>
      </c>
      <c r="D147" s="495">
        <f t="shared" ref="D147:L147" si="79">D141+D144</f>
        <v>0</v>
      </c>
      <c r="E147" s="495">
        <f t="shared" si="79"/>
        <v>0</v>
      </c>
      <c r="F147" s="495">
        <f t="shared" si="79"/>
        <v>0</v>
      </c>
      <c r="G147" s="495">
        <f t="shared" si="79"/>
        <v>0</v>
      </c>
      <c r="H147" s="495">
        <f t="shared" si="79"/>
        <v>0</v>
      </c>
      <c r="I147" s="495">
        <f t="shared" si="79"/>
        <v>0</v>
      </c>
      <c r="J147" s="495">
        <f t="shared" si="79"/>
        <v>0</v>
      </c>
      <c r="K147" s="495">
        <f t="shared" si="79"/>
        <v>0</v>
      </c>
      <c r="L147" s="496">
        <f t="shared" si="79"/>
        <v>0</v>
      </c>
    </row>
    <row r="148" spans="1:12">
      <c r="A148" s="499" t="s">
        <v>323</v>
      </c>
      <c r="B148" s="428"/>
      <c r="C148" s="495">
        <f t="shared" ref="C148:L149" si="80">C142+C145</f>
        <v>0</v>
      </c>
      <c r="D148" s="495">
        <f t="shared" si="80"/>
        <v>0</v>
      </c>
      <c r="E148" s="495">
        <f t="shared" si="80"/>
        <v>0</v>
      </c>
      <c r="F148" s="495">
        <f t="shared" si="80"/>
        <v>0</v>
      </c>
      <c r="G148" s="495">
        <f t="shared" si="80"/>
        <v>0</v>
      </c>
      <c r="H148" s="495">
        <f t="shared" si="80"/>
        <v>0</v>
      </c>
      <c r="I148" s="495">
        <f t="shared" si="80"/>
        <v>0</v>
      </c>
      <c r="J148" s="495">
        <f t="shared" si="80"/>
        <v>0</v>
      </c>
      <c r="K148" s="495">
        <f t="shared" si="80"/>
        <v>0</v>
      </c>
      <c r="L148" s="496">
        <f t="shared" si="80"/>
        <v>0</v>
      </c>
    </row>
    <row r="149" spans="1:12">
      <c r="A149" s="499" t="s">
        <v>324</v>
      </c>
      <c r="B149" s="428"/>
      <c r="C149" s="495">
        <f t="shared" si="80"/>
        <v>0</v>
      </c>
      <c r="D149" s="495">
        <f t="shared" si="80"/>
        <v>0</v>
      </c>
      <c r="E149" s="495">
        <f t="shared" si="80"/>
        <v>0</v>
      </c>
      <c r="F149" s="495">
        <f t="shared" si="80"/>
        <v>0</v>
      </c>
      <c r="G149" s="495">
        <f t="shared" si="80"/>
        <v>0</v>
      </c>
      <c r="H149" s="495">
        <f t="shared" si="80"/>
        <v>0</v>
      </c>
      <c r="I149" s="495">
        <f t="shared" si="80"/>
        <v>0</v>
      </c>
      <c r="J149" s="495">
        <f t="shared" si="80"/>
        <v>0</v>
      </c>
      <c r="K149" s="495">
        <f t="shared" si="80"/>
        <v>0</v>
      </c>
      <c r="L149" s="496">
        <f t="shared" si="80"/>
        <v>0</v>
      </c>
    </row>
    <row r="150" spans="1:12">
      <c r="A150" s="467" t="s">
        <v>275</v>
      </c>
      <c r="B150" s="476"/>
      <c r="C150" s="481">
        <f>IF(C140&lt;&gt;"",C140,C141*#REF!+C142*#REF!+C143*#REF!)</f>
        <v>0</v>
      </c>
      <c r="D150" s="481">
        <f>IF(D140&lt;&gt;"",D140,D141*A136+D142*A137+D143*A138)</f>
        <v>0</v>
      </c>
      <c r="E150" s="481">
        <f>IF(E140&lt;&gt;"",E140,E141*B136+E142*B137+E143*B138)</f>
        <v>0</v>
      </c>
      <c r="F150" s="500">
        <f>IF(F140&lt;&gt;"",F140,F147*C136+F148*C137+F149*C138)</f>
        <v>0</v>
      </c>
      <c r="G150" s="500">
        <f t="shared" ref="G150:L150" si="81">IF(G140&lt;&gt;"",G140,G147*D136+G148*D137+G149*D138)</f>
        <v>0</v>
      </c>
      <c r="H150" s="500">
        <f t="shared" si="81"/>
        <v>0</v>
      </c>
      <c r="I150" s="500">
        <f t="shared" si="81"/>
        <v>0</v>
      </c>
      <c r="J150" s="500">
        <f t="shared" si="81"/>
        <v>0</v>
      </c>
      <c r="K150" s="500">
        <f t="shared" si="81"/>
        <v>0</v>
      </c>
      <c r="L150" s="501">
        <f t="shared" si="81"/>
        <v>0</v>
      </c>
    </row>
    <row r="151" spans="1:12">
      <c r="A151" s="467" t="s">
        <v>235</v>
      </c>
      <c r="B151" s="459"/>
      <c r="C151" s="525"/>
      <c r="D151" s="525"/>
      <c r="E151" s="525"/>
      <c r="F151" s="525"/>
      <c r="G151" s="481">
        <f>IF(Disc_Rate2=0,0,0.0108*D136+0.008*0.85*D137+0.008*0.4*D138)</f>
        <v>0</v>
      </c>
      <c r="H151" s="481">
        <f>IF(Disc_Rate2=0,0,0.016*E136+0.016*0.85*E137+0.016*0.4*E138)</f>
        <v>0</v>
      </c>
      <c r="I151" s="481">
        <f>IF(Disc_Rate2=0,0,0.025*F136+0.025*0.85*F137+0.025*0.4*F138)</f>
        <v>0</v>
      </c>
      <c r="J151" s="481">
        <f>IF(Disc_Rate2=0,0,0.032*G136+0.032*0.85*G137+0.032*0.4*G138)</f>
        <v>0</v>
      </c>
      <c r="K151" s="481">
        <f>IF(Disc_Rate2=0,0,0.04*H136+0.04*0.85*H137+0.04*0.4*H138)</f>
        <v>0</v>
      </c>
      <c r="L151" s="482">
        <f>IF(Disc_Rate2=0,0,0.04*I136+0.04*0.85*I137+0.04*0.4*I138)</f>
        <v>0</v>
      </c>
    </row>
    <row r="152" spans="1:12">
      <c r="A152" s="413" t="s">
        <v>276</v>
      </c>
      <c r="B152" s="504"/>
      <c r="C152" s="505">
        <f t="shared" ref="C152:E152" si="82">C151+C150</f>
        <v>0</v>
      </c>
      <c r="D152" s="505">
        <f t="shared" si="82"/>
        <v>0</v>
      </c>
      <c r="E152" s="505">
        <f t="shared" si="82"/>
        <v>0</v>
      </c>
      <c r="F152" s="505">
        <f t="shared" ref="F152:K152" si="83">F151+F150</f>
        <v>0</v>
      </c>
      <c r="G152" s="505">
        <f t="shared" si="83"/>
        <v>0</v>
      </c>
      <c r="H152" s="505">
        <f t="shared" si="83"/>
        <v>0</v>
      </c>
      <c r="I152" s="505">
        <f t="shared" si="83"/>
        <v>0</v>
      </c>
      <c r="J152" s="505">
        <f t="shared" si="83"/>
        <v>0</v>
      </c>
      <c r="K152" s="505">
        <f t="shared" si="83"/>
        <v>0</v>
      </c>
      <c r="L152" s="506">
        <f>L151+L150</f>
        <v>0</v>
      </c>
    </row>
    <row r="153" spans="1:12">
      <c r="A153" s="467" t="s">
        <v>232</v>
      </c>
      <c r="B153" s="476"/>
      <c r="C153" s="190">
        <v>0</v>
      </c>
      <c r="D153" s="190">
        <v>0</v>
      </c>
      <c r="E153" s="190">
        <v>0</v>
      </c>
      <c r="F153" s="190">
        <v>0</v>
      </c>
      <c r="G153" s="190">
        <v>0</v>
      </c>
      <c r="H153" s="190">
        <v>0</v>
      </c>
      <c r="I153" s="190">
        <v>0</v>
      </c>
      <c r="J153" s="190">
        <v>0</v>
      </c>
      <c r="K153" s="190">
        <v>0</v>
      </c>
      <c r="L153" s="191">
        <v>0</v>
      </c>
    </row>
    <row r="154" spans="1:12">
      <c r="A154" s="467" t="s">
        <v>245</v>
      </c>
      <c r="B154" s="476"/>
      <c r="C154" s="509">
        <f>IF(C94&lt;&gt;0,IF(Invest_Return_Profile=1,C94*(C135/(C104+C135)),IF(Invest_Return_Profile=2,C94*(C135/(C104+C135)),C94*(C104/(C104+C135)))),C153)</f>
        <v>0</v>
      </c>
      <c r="D154" s="509">
        <f>IF(D94&lt;&gt;0,IF(Invest_Return_Profile=1,D94*(D135/(D104+D135)),IF(Invest_Return_Profile=2,D94*(D135/(D104+D135)),D94*(D104/(D104+D135)))),D153)</f>
        <v>0</v>
      </c>
      <c r="E154" s="509">
        <f>IF(E94&lt;&gt;0,IF(Invest_Return_Profile=1,E94*(E135/(E104+E135)),IF(Invest_Return_Profile=2,E94*(E135/(E104+E135)),E94*(E104/(E104+E135)))),E153)</f>
        <v>0</v>
      </c>
      <c r="F154" s="509">
        <f>IF(F94&lt;&gt;0,IF(Invest_Return_Profile=1,F94*(F135/(F104+F135)),IF(Invest_Return_Profile=2,F94*(F135/(F104+F135)),F94*(F104/(F104+F135)))),F153)</f>
        <v>0</v>
      </c>
      <c r="G154" s="510">
        <f t="shared" ref="G154:L154" si="84">IF(G94&lt;&gt;0,IF(Invest_Return_Profile=1,G94*(1+O$121)*(G132/(G101+G132)),IF(Invest_Return_Profile=2,G94*(1+O$122)*(G132/(G101+G132)),G94*(1+O$123)*(G101/(G101+G132)))),IF(Invest_Return_Profile=1,G153*(1+O$121),IF(Invest_Return_Profile=2,G153*(1+O$122),G153*(1+O$123))))</f>
        <v>0</v>
      </c>
      <c r="H154" s="510">
        <f t="shared" si="84"/>
        <v>0</v>
      </c>
      <c r="I154" s="510">
        <f t="shared" si="84"/>
        <v>0</v>
      </c>
      <c r="J154" s="510">
        <f t="shared" si="84"/>
        <v>0</v>
      </c>
      <c r="K154" s="510">
        <f t="shared" si="84"/>
        <v>0</v>
      </c>
      <c r="L154" s="511">
        <f t="shared" si="84"/>
        <v>0</v>
      </c>
    </row>
    <row r="155" spans="1:12">
      <c r="A155" s="467" t="s">
        <v>233</v>
      </c>
      <c r="B155" s="476"/>
      <c r="C155" s="515"/>
      <c r="D155" s="515"/>
      <c r="E155" s="515"/>
      <c r="F155" s="515"/>
      <c r="G155" s="509">
        <f>IF(Disc_Rate2=1,G154*0.012,0)</f>
        <v>0</v>
      </c>
      <c r="H155" s="509">
        <f>IF(Disc_Rate2=1,H154*0.019,0)</f>
        <v>0</v>
      </c>
      <c r="I155" s="509">
        <f>IF(Disc_Rate2=1,I54*0.024,0)</f>
        <v>0</v>
      </c>
      <c r="J155" s="509">
        <f>IF(Disc_Rate2=1,J154*0.027,0)</f>
        <v>0</v>
      </c>
      <c r="K155" s="509">
        <f>IF(Disc_Rate2=1,K154*0.03,0)</f>
        <v>0</v>
      </c>
      <c r="L155" s="516">
        <f>IF(Disc_Rate2=1,L154*0.02,0)</f>
        <v>0</v>
      </c>
    </row>
    <row r="156" spans="1:12">
      <c r="A156" s="467" t="s">
        <v>263</v>
      </c>
      <c r="B156" s="476"/>
      <c r="C156" s="510">
        <f t="shared" ref="C156:L156" si="85">(C155+C154)/IF(UAL_prepay=0,1,1.033)</f>
        <v>0</v>
      </c>
      <c r="D156" s="510">
        <f t="shared" si="85"/>
        <v>0</v>
      </c>
      <c r="E156" s="510">
        <f t="shared" si="85"/>
        <v>0</v>
      </c>
      <c r="F156" s="510">
        <f t="shared" si="85"/>
        <v>0</v>
      </c>
      <c r="G156" s="510">
        <f t="shared" si="85"/>
        <v>0</v>
      </c>
      <c r="H156" s="510">
        <f t="shared" si="85"/>
        <v>0</v>
      </c>
      <c r="I156" s="510">
        <f t="shared" si="85"/>
        <v>0</v>
      </c>
      <c r="J156" s="510">
        <f t="shared" si="85"/>
        <v>0</v>
      </c>
      <c r="K156" s="510">
        <f t="shared" si="85"/>
        <v>0</v>
      </c>
      <c r="L156" s="511">
        <f t="shared" si="85"/>
        <v>0</v>
      </c>
    </row>
    <row r="157" spans="1:12">
      <c r="A157" s="467" t="s">
        <v>285</v>
      </c>
      <c r="B157" s="476"/>
      <c r="C157" s="510">
        <f t="shared" ref="C157:L157" si="86">C96*-C135</f>
        <v>0</v>
      </c>
      <c r="D157" s="510">
        <f t="shared" si="86"/>
        <v>0</v>
      </c>
      <c r="E157" s="510">
        <f t="shared" si="86"/>
        <v>0</v>
      </c>
      <c r="F157" s="510">
        <f t="shared" si="86"/>
        <v>0</v>
      </c>
      <c r="G157" s="510">
        <f t="shared" si="86"/>
        <v>0</v>
      </c>
      <c r="H157" s="510">
        <f t="shared" si="86"/>
        <v>0</v>
      </c>
      <c r="I157" s="510">
        <f t="shared" si="86"/>
        <v>0</v>
      </c>
      <c r="J157" s="510">
        <f t="shared" si="86"/>
        <v>0</v>
      </c>
      <c r="K157" s="510">
        <f t="shared" si="86"/>
        <v>0</v>
      </c>
      <c r="L157" s="511">
        <f t="shared" si="86"/>
        <v>0</v>
      </c>
    </row>
    <row r="158" spans="1:12">
      <c r="A158" s="467" t="s">
        <v>292</v>
      </c>
      <c r="B158" s="476"/>
      <c r="C158" s="510">
        <f t="shared" ref="C158:L158" si="87">C$98*C135</f>
        <v>0</v>
      </c>
      <c r="D158" s="510">
        <f t="shared" si="87"/>
        <v>0</v>
      </c>
      <c r="E158" s="510">
        <f t="shared" si="87"/>
        <v>0</v>
      </c>
      <c r="F158" s="510">
        <f t="shared" si="87"/>
        <v>0</v>
      </c>
      <c r="G158" s="510">
        <f t="shared" si="87"/>
        <v>0</v>
      </c>
      <c r="H158" s="510">
        <f t="shared" si="87"/>
        <v>0</v>
      </c>
      <c r="I158" s="510">
        <f t="shared" si="87"/>
        <v>0</v>
      </c>
      <c r="J158" s="510">
        <f t="shared" si="87"/>
        <v>0</v>
      </c>
      <c r="K158" s="510">
        <f t="shared" si="87"/>
        <v>0</v>
      </c>
      <c r="L158" s="511">
        <f t="shared" si="87"/>
        <v>0</v>
      </c>
    </row>
    <row r="159" spans="1:12">
      <c r="A159" s="413" t="s">
        <v>244</v>
      </c>
      <c r="B159" s="485"/>
      <c r="C159" s="518">
        <f>IFERROR((C156+C157+C158)/C135,0)</f>
        <v>0</v>
      </c>
      <c r="D159" s="518">
        <f t="shared" ref="D159:L159" si="88">IFERROR((D156+D157+D158)/D135,0)</f>
        <v>0</v>
      </c>
      <c r="E159" s="518">
        <f t="shared" si="88"/>
        <v>0</v>
      </c>
      <c r="F159" s="518">
        <f t="shared" si="88"/>
        <v>0</v>
      </c>
      <c r="G159" s="518">
        <f t="shared" si="88"/>
        <v>0</v>
      </c>
      <c r="H159" s="518">
        <f t="shared" si="88"/>
        <v>0</v>
      </c>
      <c r="I159" s="518">
        <f t="shared" si="88"/>
        <v>0</v>
      </c>
      <c r="J159" s="518">
        <f t="shared" si="88"/>
        <v>0</v>
      </c>
      <c r="K159" s="518">
        <f t="shared" si="88"/>
        <v>0</v>
      </c>
      <c r="L159" s="506">
        <f t="shared" si="88"/>
        <v>0</v>
      </c>
    </row>
    <row r="160" spans="1:12" ht="15" thickBot="1">
      <c r="A160" s="519" t="s">
        <v>282</v>
      </c>
      <c r="B160" s="520"/>
      <c r="C160" s="521">
        <f>C159+C152</f>
        <v>0</v>
      </c>
      <c r="D160" s="521">
        <f t="shared" ref="D160" si="89">D159+D152</f>
        <v>0</v>
      </c>
      <c r="E160" s="521">
        <f t="shared" ref="E160" si="90">E159+E152</f>
        <v>0</v>
      </c>
      <c r="F160" s="521">
        <f t="shared" ref="F160" si="91">F159+F152</f>
        <v>0</v>
      </c>
      <c r="G160" s="521">
        <f t="shared" ref="G160" si="92">G159+G152</f>
        <v>0</v>
      </c>
      <c r="H160" s="521">
        <f t="shared" ref="H160" si="93">H159+H152</f>
        <v>0</v>
      </c>
      <c r="I160" s="521">
        <f t="shared" ref="I160" si="94">I159+I152</f>
        <v>0</v>
      </c>
      <c r="J160" s="521">
        <f t="shared" ref="J160" si="95">J159+J152</f>
        <v>0</v>
      </c>
      <c r="K160" s="521">
        <f t="shared" ref="K160" si="96">K159+K152</f>
        <v>0</v>
      </c>
      <c r="L160" s="522">
        <f t="shared" ref="L160" si="97">L159+L152</f>
        <v>0</v>
      </c>
    </row>
    <row r="161" spans="1:13">
      <c r="A161" s="413"/>
      <c r="B161" s="476"/>
      <c r="C161" s="523"/>
      <c r="D161" s="523"/>
      <c r="E161" s="523"/>
      <c r="F161" s="523"/>
      <c r="G161" s="523"/>
      <c r="H161" s="523"/>
      <c r="I161" s="523"/>
      <c r="J161" s="523"/>
      <c r="K161" s="523"/>
      <c r="L161" s="524"/>
    </row>
    <row r="162" spans="1:13" ht="15.6">
      <c r="A162" s="479" t="s">
        <v>223</v>
      </c>
      <c r="B162" s="476"/>
      <c r="C162" s="523"/>
      <c r="D162" s="523"/>
      <c r="E162" s="523"/>
      <c r="F162" s="523"/>
      <c r="G162" s="523"/>
      <c r="H162" s="523"/>
      <c r="I162" s="523"/>
      <c r="J162" s="523"/>
      <c r="K162" s="523"/>
      <c r="L162" s="524"/>
    </row>
    <row r="163" spans="1:13">
      <c r="A163" s="467" t="s">
        <v>264</v>
      </c>
      <c r="B163" s="476"/>
      <c r="C163" s="190">
        <v>0</v>
      </c>
      <c r="D163" s="483">
        <f>D$166*D167</f>
        <v>0</v>
      </c>
      <c r="E163" s="483">
        <f t="shared" ref="E163:L163" si="98">E$166*E167</f>
        <v>0</v>
      </c>
      <c r="F163" s="483">
        <f t="shared" si="98"/>
        <v>0</v>
      </c>
      <c r="G163" s="483">
        <f t="shared" si="98"/>
        <v>0</v>
      </c>
      <c r="H163" s="483">
        <f t="shared" si="98"/>
        <v>0</v>
      </c>
      <c r="I163" s="483">
        <f t="shared" si="98"/>
        <v>0</v>
      </c>
      <c r="J163" s="483">
        <f t="shared" si="98"/>
        <v>0</v>
      </c>
      <c r="K163" s="483">
        <f t="shared" si="98"/>
        <v>0</v>
      </c>
      <c r="L163" s="484">
        <f t="shared" si="98"/>
        <v>0</v>
      </c>
    </row>
    <row r="164" spans="1:13">
      <c r="A164" s="467" t="s">
        <v>265</v>
      </c>
      <c r="B164" s="476"/>
      <c r="C164" s="190">
        <v>0</v>
      </c>
      <c r="D164" s="483">
        <f>D$166*D168</f>
        <v>0</v>
      </c>
      <c r="E164" s="483">
        <f t="shared" ref="E164:L164" si="99">E$166*E168</f>
        <v>0</v>
      </c>
      <c r="F164" s="483">
        <f t="shared" si="99"/>
        <v>0</v>
      </c>
      <c r="G164" s="483">
        <f t="shared" si="99"/>
        <v>0</v>
      </c>
      <c r="H164" s="483">
        <f t="shared" si="99"/>
        <v>0</v>
      </c>
      <c r="I164" s="483">
        <f t="shared" si="99"/>
        <v>0</v>
      </c>
      <c r="J164" s="483">
        <f t="shared" si="99"/>
        <v>0</v>
      </c>
      <c r="K164" s="483">
        <f t="shared" si="99"/>
        <v>0</v>
      </c>
      <c r="L164" s="484">
        <f t="shared" si="99"/>
        <v>0</v>
      </c>
    </row>
    <row r="165" spans="1:13">
      <c r="A165" s="467" t="s">
        <v>266</v>
      </c>
      <c r="B165" s="476"/>
      <c r="C165" s="190">
        <v>0</v>
      </c>
      <c r="D165" s="483">
        <f>D$166*D169</f>
        <v>0</v>
      </c>
      <c r="E165" s="483">
        <f t="shared" ref="E165:L165" si="100">E$166*E169</f>
        <v>0</v>
      </c>
      <c r="F165" s="483">
        <f t="shared" si="100"/>
        <v>0</v>
      </c>
      <c r="G165" s="483">
        <f t="shared" si="100"/>
        <v>0</v>
      </c>
      <c r="H165" s="483">
        <f t="shared" si="100"/>
        <v>0</v>
      </c>
      <c r="I165" s="483">
        <f t="shared" si="100"/>
        <v>0</v>
      </c>
      <c r="J165" s="483">
        <f t="shared" si="100"/>
        <v>0</v>
      </c>
      <c r="K165" s="483">
        <f t="shared" si="100"/>
        <v>0</v>
      </c>
      <c r="L165" s="484">
        <f t="shared" si="100"/>
        <v>0</v>
      </c>
    </row>
    <row r="166" spans="1:13">
      <c r="A166" s="413" t="s">
        <v>270</v>
      </c>
      <c r="B166" s="485"/>
      <c r="C166" s="486">
        <f>SUM(C163:C165)</f>
        <v>0</v>
      </c>
      <c r="D166" s="486">
        <f t="shared" ref="D166:L166" si="101">C166*1.0275</f>
        <v>0</v>
      </c>
      <c r="E166" s="486">
        <f t="shared" si="101"/>
        <v>0</v>
      </c>
      <c r="F166" s="486">
        <f t="shared" si="101"/>
        <v>0</v>
      </c>
      <c r="G166" s="486">
        <f t="shared" si="101"/>
        <v>0</v>
      </c>
      <c r="H166" s="486">
        <f t="shared" si="101"/>
        <v>0</v>
      </c>
      <c r="I166" s="486">
        <f t="shared" si="101"/>
        <v>0</v>
      </c>
      <c r="J166" s="486">
        <f t="shared" si="101"/>
        <v>0</v>
      </c>
      <c r="K166" s="486">
        <f t="shared" si="101"/>
        <v>0</v>
      </c>
      <c r="L166" s="487">
        <f t="shared" si="101"/>
        <v>0</v>
      </c>
    </row>
    <row r="167" spans="1:13">
      <c r="A167" s="467" t="s">
        <v>271</v>
      </c>
      <c r="B167" s="476"/>
      <c r="C167" s="488">
        <f>IFERROR(C163/C$166,0)</f>
        <v>0</v>
      </c>
      <c r="D167" s="488">
        <f>IF(C167-0.04&lt;=0,0,C167-0.04)</f>
        <v>0</v>
      </c>
      <c r="E167" s="488">
        <f t="shared" ref="E167:L167" si="102">IF(D167-0.04&lt;=0,0,D167-0.04)</f>
        <v>0</v>
      </c>
      <c r="F167" s="488">
        <f t="shared" si="102"/>
        <v>0</v>
      </c>
      <c r="G167" s="488">
        <f t="shared" si="102"/>
        <v>0</v>
      </c>
      <c r="H167" s="488">
        <f t="shared" si="102"/>
        <v>0</v>
      </c>
      <c r="I167" s="488">
        <f t="shared" si="102"/>
        <v>0</v>
      </c>
      <c r="J167" s="488">
        <f t="shared" si="102"/>
        <v>0</v>
      </c>
      <c r="K167" s="488">
        <f t="shared" si="102"/>
        <v>0</v>
      </c>
      <c r="L167" s="489">
        <f t="shared" si="102"/>
        <v>0</v>
      </c>
    </row>
    <row r="168" spans="1:13">
      <c r="A168" s="467" t="s">
        <v>272</v>
      </c>
      <c r="B168" s="476"/>
      <c r="C168" s="488">
        <f>IFERROR(C164/C$166,0)</f>
        <v>0</v>
      </c>
      <c r="D168" s="488">
        <f>IF(C168-0.0025&lt;=0,0,C168-0.0025)</f>
        <v>0</v>
      </c>
      <c r="E168" s="488">
        <f t="shared" ref="E168:L168" si="103">IF(D168-0.0025&lt;=0,0,D168-0.0025)</f>
        <v>0</v>
      </c>
      <c r="F168" s="488">
        <f t="shared" si="103"/>
        <v>0</v>
      </c>
      <c r="G168" s="488">
        <f t="shared" si="103"/>
        <v>0</v>
      </c>
      <c r="H168" s="488">
        <f t="shared" si="103"/>
        <v>0</v>
      </c>
      <c r="I168" s="488">
        <f t="shared" si="103"/>
        <v>0</v>
      </c>
      <c r="J168" s="488">
        <f t="shared" si="103"/>
        <v>0</v>
      </c>
      <c r="K168" s="488">
        <f t="shared" si="103"/>
        <v>0</v>
      </c>
      <c r="L168" s="489">
        <f t="shared" si="103"/>
        <v>0</v>
      </c>
    </row>
    <row r="169" spans="1:13">
      <c r="A169" s="467" t="s">
        <v>273</v>
      </c>
      <c r="B169" s="476"/>
      <c r="C169" s="488">
        <f>IFERROR(C165/C$166,0)</f>
        <v>0</v>
      </c>
      <c r="D169" s="488">
        <f>IF(C168=0,0,IF(C168&lt;0.0025,C168,0.0025))+IF(C167=0,0,IF(C167&lt;0.04,C167,0.04))+C169</f>
        <v>0</v>
      </c>
      <c r="E169" s="488">
        <f t="shared" ref="E169:L169" si="104">IF(D168=0,0,IF(D168&lt;0.0025,D168,0.0025))+IF(D167=0,0,IF(D167&lt;0.04,D167,0.04))+D169</f>
        <v>0</v>
      </c>
      <c r="F169" s="488">
        <f t="shared" si="104"/>
        <v>0</v>
      </c>
      <c r="G169" s="488">
        <f t="shared" si="104"/>
        <v>0</v>
      </c>
      <c r="H169" s="488">
        <f t="shared" si="104"/>
        <v>0</v>
      </c>
      <c r="I169" s="488">
        <f t="shared" si="104"/>
        <v>0</v>
      </c>
      <c r="J169" s="488">
        <f t="shared" si="104"/>
        <v>0</v>
      </c>
      <c r="K169" s="488">
        <f t="shared" si="104"/>
        <v>0</v>
      </c>
      <c r="L169" s="489">
        <f t="shared" si="104"/>
        <v>0</v>
      </c>
    </row>
    <row r="170" spans="1:13">
      <c r="A170" s="467" t="s">
        <v>274</v>
      </c>
      <c r="B170" s="476"/>
      <c r="C170" s="488">
        <f>SUM(C167:C169)</f>
        <v>0</v>
      </c>
      <c r="D170" s="488">
        <f t="shared" ref="D170" si="105">SUM(D167:D169)</f>
        <v>0</v>
      </c>
      <c r="E170" s="488">
        <f t="shared" ref="E170" si="106">SUM(E167:E169)</f>
        <v>0</v>
      </c>
      <c r="F170" s="488">
        <f t="shared" ref="F170" si="107">SUM(F167:F169)</f>
        <v>0</v>
      </c>
      <c r="G170" s="488">
        <f t="shared" ref="G170" si="108">SUM(G167:G169)</f>
        <v>0</v>
      </c>
      <c r="H170" s="488">
        <f t="shared" ref="H170" si="109">SUM(H167:H169)</f>
        <v>0</v>
      </c>
      <c r="I170" s="488">
        <f t="shared" ref="I170" si="110">SUM(I167:I169)</f>
        <v>0</v>
      </c>
      <c r="J170" s="488">
        <f t="shared" ref="J170" si="111">SUM(J167:J169)</f>
        <v>0</v>
      </c>
      <c r="K170" s="488">
        <f t="shared" ref="K170" si="112">SUM(K167:K169)</f>
        <v>0</v>
      </c>
      <c r="L170" s="489">
        <f t="shared" ref="L170" si="113">SUM(L167:L169)</f>
        <v>0</v>
      </c>
    </row>
    <row r="171" spans="1:13">
      <c r="A171" s="467" t="s">
        <v>287</v>
      </c>
      <c r="B171" s="476"/>
      <c r="C171" s="52">
        <v>0</v>
      </c>
      <c r="D171" s="52">
        <v>0</v>
      </c>
      <c r="E171" s="52">
        <v>0</v>
      </c>
      <c r="F171" s="52">
        <v>0</v>
      </c>
      <c r="G171" s="490"/>
      <c r="H171" s="490"/>
      <c r="I171" s="490"/>
      <c r="J171" s="490"/>
      <c r="K171" s="490"/>
      <c r="L171" s="491"/>
      <c r="M171" s="492" t="s">
        <v>328</v>
      </c>
    </row>
    <row r="172" spans="1:13">
      <c r="A172" s="467" t="s">
        <v>267</v>
      </c>
      <c r="B172" s="476"/>
      <c r="C172" s="493"/>
      <c r="D172" s="494"/>
      <c r="E172" s="52">
        <v>0</v>
      </c>
      <c r="F172" s="52">
        <v>0</v>
      </c>
      <c r="G172" s="495">
        <f>F172</f>
        <v>0</v>
      </c>
      <c r="H172" s="495">
        <f t="shared" ref="H172:L172" si="114">G172</f>
        <v>0</v>
      </c>
      <c r="I172" s="495">
        <f t="shared" si="114"/>
        <v>0</v>
      </c>
      <c r="J172" s="495">
        <f t="shared" si="114"/>
        <v>0</v>
      </c>
      <c r="K172" s="495">
        <f t="shared" si="114"/>
        <v>0</v>
      </c>
      <c r="L172" s="496">
        <f t="shared" si="114"/>
        <v>0</v>
      </c>
    </row>
    <row r="173" spans="1:13">
      <c r="A173" s="467" t="s">
        <v>268</v>
      </c>
      <c r="B173" s="476"/>
      <c r="C173" s="493"/>
      <c r="D173" s="494"/>
      <c r="E173" s="52">
        <v>0</v>
      </c>
      <c r="F173" s="52">
        <v>0</v>
      </c>
      <c r="G173" s="495">
        <f t="shared" ref="G173:L173" si="115">F173</f>
        <v>0</v>
      </c>
      <c r="H173" s="495">
        <f t="shared" si="115"/>
        <v>0</v>
      </c>
      <c r="I173" s="495">
        <f t="shared" si="115"/>
        <v>0</v>
      </c>
      <c r="J173" s="495">
        <f t="shared" si="115"/>
        <v>0</v>
      </c>
      <c r="K173" s="495">
        <f t="shared" si="115"/>
        <v>0</v>
      </c>
      <c r="L173" s="496">
        <f t="shared" si="115"/>
        <v>0</v>
      </c>
    </row>
    <row r="174" spans="1:13">
      <c r="A174" s="467" t="s">
        <v>269</v>
      </c>
      <c r="B174" s="476"/>
      <c r="C174" s="490"/>
      <c r="D174" s="490"/>
      <c r="E174" s="52">
        <v>0</v>
      </c>
      <c r="F174" s="52">
        <v>0</v>
      </c>
      <c r="G174" s="495">
        <f t="shared" ref="G174:L177" si="116">F174</f>
        <v>0</v>
      </c>
      <c r="H174" s="495">
        <f t="shared" si="116"/>
        <v>0</v>
      </c>
      <c r="I174" s="495">
        <f t="shared" si="116"/>
        <v>0</v>
      </c>
      <c r="J174" s="495">
        <f t="shared" si="116"/>
        <v>0</v>
      </c>
      <c r="K174" s="495">
        <f t="shared" si="116"/>
        <v>0</v>
      </c>
      <c r="L174" s="496">
        <f t="shared" si="116"/>
        <v>0</v>
      </c>
    </row>
    <row r="175" spans="1:13">
      <c r="A175" s="471" t="s">
        <v>354</v>
      </c>
      <c r="B175" s="498"/>
      <c r="C175" s="157">
        <v>0</v>
      </c>
      <c r="D175" s="157">
        <v>0</v>
      </c>
      <c r="E175" s="157">
        <v>0</v>
      </c>
      <c r="F175" s="157">
        <v>0</v>
      </c>
      <c r="G175" s="495">
        <f t="shared" si="116"/>
        <v>0</v>
      </c>
      <c r="H175" s="495">
        <f t="shared" si="116"/>
        <v>0</v>
      </c>
      <c r="I175" s="495">
        <f t="shared" si="116"/>
        <v>0</v>
      </c>
      <c r="J175" s="495">
        <f t="shared" si="116"/>
        <v>0</v>
      </c>
      <c r="K175" s="495">
        <f t="shared" si="116"/>
        <v>0</v>
      </c>
      <c r="L175" s="496">
        <f t="shared" si="116"/>
        <v>0</v>
      </c>
    </row>
    <row r="176" spans="1:13">
      <c r="A176" s="471" t="s">
        <v>355</v>
      </c>
      <c r="B176" s="497"/>
      <c r="C176" s="157">
        <v>0</v>
      </c>
      <c r="D176" s="157">
        <v>0</v>
      </c>
      <c r="E176" s="157">
        <v>0</v>
      </c>
      <c r="F176" s="157">
        <v>0</v>
      </c>
      <c r="G176" s="495">
        <f t="shared" si="116"/>
        <v>0</v>
      </c>
      <c r="H176" s="495">
        <f t="shared" si="116"/>
        <v>0</v>
      </c>
      <c r="I176" s="495">
        <f t="shared" si="116"/>
        <v>0</v>
      </c>
      <c r="J176" s="495">
        <f t="shared" si="116"/>
        <v>0</v>
      </c>
      <c r="K176" s="495">
        <f t="shared" si="116"/>
        <v>0</v>
      </c>
      <c r="L176" s="496">
        <f t="shared" si="116"/>
        <v>0</v>
      </c>
    </row>
    <row r="177" spans="1:20">
      <c r="A177" s="471" t="s">
        <v>356</v>
      </c>
      <c r="B177" s="498"/>
      <c r="C177" s="157">
        <v>0</v>
      </c>
      <c r="D177" s="157">
        <v>0</v>
      </c>
      <c r="E177" s="157">
        <v>0</v>
      </c>
      <c r="F177" s="157">
        <v>0</v>
      </c>
      <c r="G177" s="495">
        <f t="shared" si="116"/>
        <v>0</v>
      </c>
      <c r="H177" s="495">
        <f t="shared" si="116"/>
        <v>0</v>
      </c>
      <c r="I177" s="495">
        <f t="shared" si="116"/>
        <v>0</v>
      </c>
      <c r="J177" s="495">
        <f t="shared" si="116"/>
        <v>0</v>
      </c>
      <c r="K177" s="495">
        <f t="shared" si="116"/>
        <v>0</v>
      </c>
      <c r="L177" s="496">
        <f t="shared" si="116"/>
        <v>0</v>
      </c>
    </row>
    <row r="178" spans="1:20">
      <c r="A178" s="499" t="s">
        <v>325</v>
      </c>
      <c r="B178" s="428"/>
      <c r="C178" s="495">
        <f>C172+C175</f>
        <v>0</v>
      </c>
      <c r="D178" s="495">
        <f t="shared" ref="D178:L178" si="117">D172+D175</f>
        <v>0</v>
      </c>
      <c r="E178" s="495">
        <f t="shared" si="117"/>
        <v>0</v>
      </c>
      <c r="F178" s="495">
        <f t="shared" si="117"/>
        <v>0</v>
      </c>
      <c r="G178" s="495">
        <f t="shared" si="117"/>
        <v>0</v>
      </c>
      <c r="H178" s="495">
        <f t="shared" si="117"/>
        <v>0</v>
      </c>
      <c r="I178" s="495">
        <f t="shared" si="117"/>
        <v>0</v>
      </c>
      <c r="J178" s="495">
        <f t="shared" si="117"/>
        <v>0</v>
      </c>
      <c r="K178" s="495">
        <f t="shared" si="117"/>
        <v>0</v>
      </c>
      <c r="L178" s="496">
        <f t="shared" si="117"/>
        <v>0</v>
      </c>
    </row>
    <row r="179" spans="1:20">
      <c r="A179" s="499" t="s">
        <v>326</v>
      </c>
      <c r="B179" s="428"/>
      <c r="C179" s="495">
        <f t="shared" ref="C179:L179" si="118">C173+C176</f>
        <v>0</v>
      </c>
      <c r="D179" s="495">
        <f t="shared" si="118"/>
        <v>0</v>
      </c>
      <c r="E179" s="495">
        <f t="shared" si="118"/>
        <v>0</v>
      </c>
      <c r="F179" s="495">
        <f t="shared" si="118"/>
        <v>0</v>
      </c>
      <c r="G179" s="495">
        <f t="shared" si="118"/>
        <v>0</v>
      </c>
      <c r="H179" s="495">
        <f t="shared" si="118"/>
        <v>0</v>
      </c>
      <c r="I179" s="495">
        <f t="shared" si="118"/>
        <v>0</v>
      </c>
      <c r="J179" s="495">
        <f t="shared" si="118"/>
        <v>0</v>
      </c>
      <c r="K179" s="495">
        <f t="shared" si="118"/>
        <v>0</v>
      </c>
      <c r="L179" s="496">
        <f t="shared" si="118"/>
        <v>0</v>
      </c>
    </row>
    <row r="180" spans="1:20">
      <c r="A180" s="499" t="s">
        <v>327</v>
      </c>
      <c r="B180" s="428"/>
      <c r="C180" s="495">
        <f t="shared" ref="C180:L180" si="119">C174+C177</f>
        <v>0</v>
      </c>
      <c r="D180" s="495">
        <f t="shared" si="119"/>
        <v>0</v>
      </c>
      <c r="E180" s="495">
        <f t="shared" si="119"/>
        <v>0</v>
      </c>
      <c r="F180" s="495">
        <f t="shared" si="119"/>
        <v>0</v>
      </c>
      <c r="G180" s="495">
        <f t="shared" si="119"/>
        <v>0</v>
      </c>
      <c r="H180" s="495">
        <f t="shared" si="119"/>
        <v>0</v>
      </c>
      <c r="I180" s="495">
        <f t="shared" si="119"/>
        <v>0</v>
      </c>
      <c r="J180" s="495">
        <f t="shared" si="119"/>
        <v>0</v>
      </c>
      <c r="K180" s="495">
        <f t="shared" si="119"/>
        <v>0</v>
      </c>
      <c r="L180" s="496">
        <f t="shared" si="119"/>
        <v>0</v>
      </c>
      <c r="N180" s="282" t="s">
        <v>278</v>
      </c>
      <c r="P180" s="492" t="s">
        <v>289</v>
      </c>
    </row>
    <row r="181" spans="1:20" ht="15" thickBot="1">
      <c r="A181" s="467" t="s">
        <v>275</v>
      </c>
      <c r="B181" s="497"/>
      <c r="C181" s="481">
        <f>C171</f>
        <v>0</v>
      </c>
      <c r="D181" s="481">
        <f>D171</f>
        <v>0</v>
      </c>
      <c r="E181" s="481">
        <f>E171</f>
        <v>0</v>
      </c>
      <c r="F181" s="500">
        <f>IF(F171&lt;&gt;"",F171,F178*C167+F179*C168+F180*C169)</f>
        <v>0</v>
      </c>
      <c r="G181" s="500">
        <f t="shared" ref="G181" si="120">IF(G171&lt;&gt;"",G171,G178*D167+G179*D168+G180*D169)</f>
        <v>0</v>
      </c>
      <c r="H181" s="500">
        <f t="shared" ref="H181" si="121">IF(H171&lt;&gt;"",H171,H178*E167+H179*E168+H180*E169)</f>
        <v>0</v>
      </c>
      <c r="I181" s="500">
        <f t="shared" ref="I181" si="122">IF(I171&lt;&gt;"",I171,I178*F167+I179*F168+I180*F169)</f>
        <v>0</v>
      </c>
      <c r="J181" s="500">
        <f t="shared" ref="J181" si="123">IF(J171&lt;&gt;"",J171,J178*G167+J179*G168+J180*G169)</f>
        <v>0</v>
      </c>
      <c r="K181" s="500">
        <f t="shared" ref="K181" si="124">IF(K171&lt;&gt;"",K171,K178*H167+K179*H168+K180*H169)</f>
        <v>0</v>
      </c>
      <c r="L181" s="501">
        <f t="shared" ref="L181" si="125">IF(L171&lt;&gt;"",L171,L178*I167+L179*I168+L180*I169)</f>
        <v>0</v>
      </c>
      <c r="N181" s="282" t="s">
        <v>246</v>
      </c>
    </row>
    <row r="182" spans="1:20">
      <c r="A182" s="467" t="s">
        <v>235</v>
      </c>
      <c r="B182" s="476"/>
      <c r="C182" s="525"/>
      <c r="D182" s="525"/>
      <c r="E182" s="525"/>
      <c r="F182" s="525"/>
      <c r="G182" s="481">
        <f>IF(Disc_Rate2=0,0,0.005*D167+0.005*0.85*D168+0.005*0.26*D169)</f>
        <v>0</v>
      </c>
      <c r="H182" s="481">
        <f>IF(Disc_Rate2=0,0,0.011*E167+0.011*0.85*E168+0.011*0.26*E169)</f>
        <v>0</v>
      </c>
      <c r="I182" s="481">
        <f>IF(Disc_Rate2=0,0,0.016*F167+0.016*0.85*F168+0.016*0.26*F169)</f>
        <v>0</v>
      </c>
      <c r="J182" s="481">
        <f>IF(Disc_Rate2=0,0,0.021*G167+0.021*0.85*G168+0.021*0.26*G169)</f>
        <v>0</v>
      </c>
      <c r="K182" s="481">
        <f>IF(Disc_Rate2=0,0,0.026*H167+0.026*0.85*H168+0.026*0.26*H169)</f>
        <v>0</v>
      </c>
      <c r="L182" s="482">
        <f>IF(Disc_Rate2=0,0,0.026*I167+0.026*0.85*I168+0.026*0.26*I169)</f>
        <v>0</v>
      </c>
      <c r="N182" s="503" t="s">
        <v>243</v>
      </c>
      <c r="O182" s="245" t="s">
        <v>225</v>
      </c>
      <c r="P182" s="245" t="s">
        <v>5</v>
      </c>
      <c r="Q182" s="245" t="s">
        <v>226</v>
      </c>
      <c r="R182" s="245" t="s">
        <v>227</v>
      </c>
      <c r="S182" s="245" t="s">
        <v>228</v>
      </c>
      <c r="T182" s="246" t="s">
        <v>229</v>
      </c>
    </row>
    <row r="183" spans="1:20">
      <c r="A183" s="413" t="s">
        <v>276</v>
      </c>
      <c r="B183" s="476"/>
      <c r="C183" s="505">
        <f t="shared" ref="C183:E183" si="126">C182+C181</f>
        <v>0</v>
      </c>
      <c r="D183" s="505">
        <f t="shared" si="126"/>
        <v>0</v>
      </c>
      <c r="E183" s="505">
        <f t="shared" si="126"/>
        <v>0</v>
      </c>
      <c r="F183" s="505">
        <f t="shared" ref="F183" si="127">F182+F181</f>
        <v>0</v>
      </c>
      <c r="G183" s="505">
        <f t="shared" ref="G183" si="128">G182+G181</f>
        <v>0</v>
      </c>
      <c r="H183" s="505">
        <f t="shared" ref="H183" si="129">H182+H181</f>
        <v>0</v>
      </c>
      <c r="I183" s="505">
        <f t="shared" ref="I183" si="130">I182+I181</f>
        <v>0</v>
      </c>
      <c r="J183" s="505">
        <f t="shared" ref="J183" si="131">J182+J181</f>
        <v>0</v>
      </c>
      <c r="K183" s="505">
        <f t="shared" ref="K183" si="132">K182+K181</f>
        <v>0</v>
      </c>
      <c r="L183" s="506">
        <f>L182+L181</f>
        <v>0</v>
      </c>
      <c r="N183" s="474" t="s">
        <v>56</v>
      </c>
      <c r="O183" s="507">
        <v>1.5E-3</v>
      </c>
      <c r="P183" s="507">
        <v>0.05</v>
      </c>
      <c r="Q183" s="507">
        <v>8.5000000000000006E-2</v>
      </c>
      <c r="R183" s="507">
        <v>0.12</v>
      </c>
      <c r="S183" s="507">
        <v>0.16</v>
      </c>
      <c r="T183" s="508">
        <v>0.2</v>
      </c>
    </row>
    <row r="184" spans="1:20">
      <c r="A184" s="467" t="s">
        <v>221</v>
      </c>
      <c r="B184" s="476"/>
      <c r="C184" s="190">
        <v>0</v>
      </c>
      <c r="D184" s="190">
        <v>0</v>
      </c>
      <c r="E184" s="190">
        <v>0</v>
      </c>
      <c r="F184" s="190">
        <v>0</v>
      </c>
      <c r="G184" s="190">
        <v>0</v>
      </c>
      <c r="H184" s="190">
        <v>0</v>
      </c>
      <c r="I184" s="190">
        <v>0</v>
      </c>
      <c r="J184" s="190">
        <v>0</v>
      </c>
      <c r="K184" s="190">
        <v>0</v>
      </c>
      <c r="L184" s="191">
        <v>0</v>
      </c>
      <c r="N184" s="474" t="s">
        <v>224</v>
      </c>
      <c r="O184" s="507">
        <v>1.5E-3</v>
      </c>
      <c r="P184" s="507">
        <v>0.08</v>
      </c>
      <c r="Q184" s="507">
        <v>0.13</v>
      </c>
      <c r="R184" s="507">
        <v>0.17</v>
      </c>
      <c r="S184" s="507">
        <v>0.24</v>
      </c>
      <c r="T184" s="508">
        <v>0.3</v>
      </c>
    </row>
    <row r="185" spans="1:20" ht="15" thickBot="1">
      <c r="A185" s="467" t="s">
        <v>245</v>
      </c>
      <c r="B185" s="476"/>
      <c r="C185" s="509">
        <f>C184</f>
        <v>0</v>
      </c>
      <c r="D185" s="509">
        <f>D184</f>
        <v>0</v>
      </c>
      <c r="E185" s="509">
        <f>E184</f>
        <v>0</v>
      </c>
      <c r="F185" s="509">
        <f>F184</f>
        <v>0</v>
      </c>
      <c r="G185" s="510">
        <f t="shared" ref="G185:L185" si="133">IF(Invest_Return_Profile=1,G184*(1+O$183),IF(Invest_Return_Profile=2,G184*(1+O$184),G184*(1+O$185)))</f>
        <v>0</v>
      </c>
      <c r="H185" s="510">
        <f t="shared" si="133"/>
        <v>0</v>
      </c>
      <c r="I185" s="510">
        <f t="shared" si="133"/>
        <v>0</v>
      </c>
      <c r="J185" s="510">
        <f t="shared" si="133"/>
        <v>0</v>
      </c>
      <c r="K185" s="510">
        <f t="shared" si="133"/>
        <v>0</v>
      </c>
      <c r="L185" s="511">
        <f t="shared" si="133"/>
        <v>0</v>
      </c>
      <c r="N185" s="512" t="s">
        <v>38</v>
      </c>
      <c r="O185" s="513">
        <v>1.5E-3</v>
      </c>
      <c r="P185" s="513">
        <v>0.11</v>
      </c>
      <c r="Q185" s="513">
        <v>0.17</v>
      </c>
      <c r="R185" s="513">
        <v>0.22</v>
      </c>
      <c r="S185" s="513">
        <v>0.31</v>
      </c>
      <c r="T185" s="514">
        <v>0.37</v>
      </c>
    </row>
    <row r="186" spans="1:20">
      <c r="A186" s="467" t="s">
        <v>233</v>
      </c>
      <c r="B186" s="526"/>
      <c r="C186" s="515"/>
      <c r="D186" s="515"/>
      <c r="E186" s="515"/>
      <c r="F186" s="515"/>
      <c r="G186" s="509">
        <f>IF(Disc_Rate2=1,G185*0.012,0)</f>
        <v>0</v>
      </c>
      <c r="H186" s="509">
        <f>IF(Disc_Rate2=1,H185*0.019,0)</f>
        <v>0</v>
      </c>
      <c r="I186" s="509">
        <f>IF(Disc_Rate2=1,I85*0.024,0)</f>
        <v>6.0000000000000002E-5</v>
      </c>
      <c r="J186" s="509">
        <f>IF(Disc_Rate2=1,J185*0.027,0)</f>
        <v>0</v>
      </c>
      <c r="K186" s="509">
        <f>IF(Disc_Rate2=1,K185*0.03,0)</f>
        <v>0</v>
      </c>
      <c r="L186" s="516">
        <f>IF(Disc_Rate2=1,L185*0.02,0)</f>
        <v>0</v>
      </c>
      <c r="N186" s="264" t="s">
        <v>237</v>
      </c>
    </row>
    <row r="187" spans="1:20">
      <c r="A187" s="467" t="s">
        <v>263</v>
      </c>
      <c r="B187" s="526"/>
      <c r="C187" s="510">
        <f t="shared" ref="C187:L187" si="134">(C186+C185)/IF(UAL_prepay=0,1,1.033)</f>
        <v>0</v>
      </c>
      <c r="D187" s="510">
        <f t="shared" si="134"/>
        <v>0</v>
      </c>
      <c r="E187" s="510">
        <f>(E186+E185)/IF(UAL_prepay=0,1,1.033)</f>
        <v>0</v>
      </c>
      <c r="F187" s="510">
        <f t="shared" si="134"/>
        <v>0</v>
      </c>
      <c r="G187" s="510">
        <f t="shared" si="134"/>
        <v>0</v>
      </c>
      <c r="H187" s="510">
        <f t="shared" si="134"/>
        <v>0</v>
      </c>
      <c r="I187" s="510">
        <f t="shared" si="134"/>
        <v>5.8083252662149089E-5</v>
      </c>
      <c r="J187" s="510">
        <f t="shared" si="134"/>
        <v>0</v>
      </c>
      <c r="K187" s="510">
        <f t="shared" si="134"/>
        <v>0</v>
      </c>
      <c r="L187" s="511">
        <f t="shared" si="134"/>
        <v>0</v>
      </c>
      <c r="N187" s="264" t="s">
        <v>238</v>
      </c>
    </row>
    <row r="188" spans="1:20">
      <c r="A188" s="467" t="s">
        <v>286</v>
      </c>
      <c r="B188" s="526"/>
      <c r="C188" s="510">
        <f t="shared" ref="C188:L188" si="135">C97*-C166</f>
        <v>0</v>
      </c>
      <c r="D188" s="510">
        <f t="shared" si="135"/>
        <v>0</v>
      </c>
      <c r="E188" s="510">
        <f t="shared" si="135"/>
        <v>0</v>
      </c>
      <c r="F188" s="510">
        <f t="shared" si="135"/>
        <v>0</v>
      </c>
      <c r="G188" s="510">
        <f t="shared" si="135"/>
        <v>0</v>
      </c>
      <c r="H188" s="510">
        <f t="shared" si="135"/>
        <v>0</v>
      </c>
      <c r="I188" s="510">
        <f t="shared" si="135"/>
        <v>0</v>
      </c>
      <c r="J188" s="510">
        <f t="shared" si="135"/>
        <v>0</v>
      </c>
      <c r="K188" s="510">
        <f t="shared" si="135"/>
        <v>0</v>
      </c>
      <c r="L188" s="511">
        <f t="shared" si="135"/>
        <v>0</v>
      </c>
      <c r="N188" s="264" t="s">
        <v>242</v>
      </c>
    </row>
    <row r="189" spans="1:20">
      <c r="A189" s="467" t="s">
        <v>293</v>
      </c>
      <c r="B189" s="526"/>
      <c r="C189" s="510">
        <f>C$98*C166</f>
        <v>0</v>
      </c>
      <c r="D189" s="510">
        <f t="shared" ref="D189:L189" si="136">D$98*D166</f>
        <v>0</v>
      </c>
      <c r="E189" s="510">
        <f t="shared" si="136"/>
        <v>0</v>
      </c>
      <c r="F189" s="510">
        <f t="shared" si="136"/>
        <v>0</v>
      </c>
      <c r="G189" s="510">
        <f t="shared" si="136"/>
        <v>0</v>
      </c>
      <c r="H189" s="510">
        <f t="shared" si="136"/>
        <v>0</v>
      </c>
      <c r="I189" s="510">
        <f t="shared" si="136"/>
        <v>0</v>
      </c>
      <c r="J189" s="510">
        <f t="shared" si="136"/>
        <v>0</v>
      </c>
      <c r="K189" s="510">
        <f t="shared" si="136"/>
        <v>0</v>
      </c>
      <c r="L189" s="511">
        <f t="shared" si="136"/>
        <v>0</v>
      </c>
    </row>
    <row r="190" spans="1:20">
      <c r="A190" s="413" t="s">
        <v>244</v>
      </c>
      <c r="B190" s="527"/>
      <c r="C190" s="518">
        <f>IFERROR((C187+C188+C189)/C166,0)</f>
        <v>0</v>
      </c>
      <c r="D190" s="518">
        <f t="shared" ref="D190:L190" si="137">IFERROR((D187+D188+D189)/D166,0)</f>
        <v>0</v>
      </c>
      <c r="E190" s="518">
        <f t="shared" si="137"/>
        <v>0</v>
      </c>
      <c r="F190" s="518">
        <f t="shared" si="137"/>
        <v>0</v>
      </c>
      <c r="G190" s="518">
        <f t="shared" si="137"/>
        <v>0</v>
      </c>
      <c r="H190" s="518">
        <f t="shared" si="137"/>
        <v>0</v>
      </c>
      <c r="I190" s="518">
        <f t="shared" si="137"/>
        <v>0</v>
      </c>
      <c r="J190" s="518">
        <f t="shared" si="137"/>
        <v>0</v>
      </c>
      <c r="K190" s="518">
        <f t="shared" si="137"/>
        <v>0</v>
      </c>
      <c r="L190" s="506">
        <f t="shared" si="137"/>
        <v>0</v>
      </c>
    </row>
    <row r="191" spans="1:20" ht="15" thickBot="1">
      <c r="A191" s="528" t="s">
        <v>283</v>
      </c>
      <c r="B191" s="529"/>
      <c r="C191" s="521">
        <f>C190+C183</f>
        <v>0</v>
      </c>
      <c r="D191" s="521">
        <f t="shared" ref="D191:L191" si="138">D190+D183</f>
        <v>0</v>
      </c>
      <c r="E191" s="521">
        <f t="shared" si="138"/>
        <v>0</v>
      </c>
      <c r="F191" s="521">
        <f t="shared" si="138"/>
        <v>0</v>
      </c>
      <c r="G191" s="521">
        <f t="shared" si="138"/>
        <v>0</v>
      </c>
      <c r="H191" s="521">
        <f t="shared" si="138"/>
        <v>0</v>
      </c>
      <c r="I191" s="521">
        <f t="shared" si="138"/>
        <v>0</v>
      </c>
      <c r="J191" s="521">
        <f t="shared" si="138"/>
        <v>0</v>
      </c>
      <c r="K191" s="521">
        <f t="shared" si="138"/>
        <v>0</v>
      </c>
      <c r="L191" s="522">
        <f t="shared" si="138"/>
        <v>0</v>
      </c>
    </row>
    <row r="192" spans="1:20">
      <c r="A192" s="377"/>
      <c r="B192" s="377"/>
      <c r="C192" s="377"/>
      <c r="D192" s="377"/>
      <c r="E192" s="377"/>
      <c r="F192" s="377"/>
      <c r="G192" s="377"/>
      <c r="H192" s="377"/>
      <c r="I192" s="377"/>
      <c r="J192" s="377"/>
      <c r="K192" s="377"/>
      <c r="L192" s="377"/>
    </row>
    <row r="193" spans="1:12" ht="15" thickBot="1">
      <c r="A193" s="530" t="s">
        <v>186</v>
      </c>
      <c r="B193" s="377"/>
      <c r="C193" s="377"/>
      <c r="D193" s="377"/>
      <c r="E193" s="377"/>
      <c r="F193" s="377"/>
      <c r="G193" s="377"/>
      <c r="H193" s="377"/>
      <c r="I193" s="377"/>
      <c r="J193" s="377"/>
      <c r="K193" s="377"/>
      <c r="L193" s="377"/>
    </row>
    <row r="194" spans="1:12" ht="15.6">
      <c r="A194" s="435" t="s">
        <v>188</v>
      </c>
      <c r="B194" s="531"/>
      <c r="C194" s="245" t="s">
        <v>367</v>
      </c>
      <c r="D194" s="245" t="s">
        <v>368</v>
      </c>
      <c r="E194" s="245" t="s">
        <v>361</v>
      </c>
      <c r="F194" s="245" t="s">
        <v>362</v>
      </c>
      <c r="G194" s="245" t="s">
        <v>363</v>
      </c>
      <c r="H194" s="245" t="s">
        <v>364</v>
      </c>
      <c r="I194" s="245" t="s">
        <v>365</v>
      </c>
      <c r="J194" s="245" t="s">
        <v>366</v>
      </c>
      <c r="K194" s="245" t="s">
        <v>370</v>
      </c>
      <c r="L194" s="246" t="s">
        <v>371</v>
      </c>
    </row>
    <row r="195" spans="1:12">
      <c r="A195" s="550" t="s">
        <v>398</v>
      </c>
      <c r="B195" s="476"/>
      <c r="C195" s="187">
        <v>0</v>
      </c>
      <c r="D195" s="187">
        <v>0</v>
      </c>
      <c r="E195" s="187">
        <v>0</v>
      </c>
      <c r="F195" s="187">
        <v>0.2394</v>
      </c>
      <c r="G195" s="187">
        <f>+F195</f>
        <v>0.2394</v>
      </c>
      <c r="H195" s="187">
        <f t="shared" ref="H195:L195" si="139">+G195</f>
        <v>0.2394</v>
      </c>
      <c r="I195" s="187">
        <f t="shared" si="139"/>
        <v>0.2394</v>
      </c>
      <c r="J195" s="187">
        <f t="shared" si="139"/>
        <v>0.2394</v>
      </c>
      <c r="K195" s="187">
        <f t="shared" si="139"/>
        <v>0.2394</v>
      </c>
      <c r="L195" s="188">
        <f t="shared" si="139"/>
        <v>0.2394</v>
      </c>
    </row>
    <row r="196" spans="1:12">
      <c r="A196" s="550" t="s">
        <v>175</v>
      </c>
      <c r="B196" s="476"/>
      <c r="C196" s="187">
        <v>0</v>
      </c>
      <c r="D196" s="187">
        <v>0</v>
      </c>
      <c r="E196" s="187">
        <v>0</v>
      </c>
      <c r="F196" s="187">
        <v>0</v>
      </c>
      <c r="G196" s="187">
        <v>0</v>
      </c>
      <c r="H196" s="187">
        <v>0</v>
      </c>
      <c r="I196" s="187">
        <v>0</v>
      </c>
      <c r="J196" s="187">
        <v>0</v>
      </c>
      <c r="K196" s="187">
        <v>0</v>
      </c>
      <c r="L196" s="188">
        <v>0</v>
      </c>
    </row>
    <row r="197" spans="1:12">
      <c r="A197" s="550" t="s">
        <v>176</v>
      </c>
      <c r="B197" s="476"/>
      <c r="C197" s="187">
        <v>0</v>
      </c>
      <c r="D197" s="187">
        <v>0</v>
      </c>
      <c r="E197" s="187">
        <v>0</v>
      </c>
      <c r="F197" s="187">
        <v>0</v>
      </c>
      <c r="G197" s="187">
        <v>0</v>
      </c>
      <c r="H197" s="187">
        <v>0</v>
      </c>
      <c r="I197" s="187">
        <v>0</v>
      </c>
      <c r="J197" s="187">
        <v>0</v>
      </c>
      <c r="K197" s="187">
        <v>0</v>
      </c>
      <c r="L197" s="188">
        <v>0</v>
      </c>
    </row>
    <row r="198" spans="1:12">
      <c r="A198" s="550" t="s">
        <v>177</v>
      </c>
      <c r="B198" s="476"/>
      <c r="C198" s="187">
        <v>0</v>
      </c>
      <c r="D198" s="187">
        <v>0</v>
      </c>
      <c r="E198" s="187">
        <v>0</v>
      </c>
      <c r="F198" s="187">
        <v>0</v>
      </c>
      <c r="G198" s="187">
        <v>0</v>
      </c>
      <c r="H198" s="187">
        <v>0</v>
      </c>
      <c r="I198" s="187">
        <v>0</v>
      </c>
      <c r="J198" s="187">
        <v>0</v>
      </c>
      <c r="K198" s="187">
        <v>0</v>
      </c>
      <c r="L198" s="188">
        <v>0</v>
      </c>
    </row>
    <row r="199" spans="1:12" ht="15" thickBot="1">
      <c r="A199" s="551" t="s">
        <v>181</v>
      </c>
      <c r="B199" s="532"/>
      <c r="C199" s="192">
        <v>0</v>
      </c>
      <c r="D199" s="192">
        <v>0</v>
      </c>
      <c r="E199" s="192">
        <v>0</v>
      </c>
      <c r="F199" s="192">
        <v>0</v>
      </c>
      <c r="G199" s="192">
        <v>0</v>
      </c>
      <c r="H199" s="192">
        <v>0</v>
      </c>
      <c r="I199" s="192">
        <v>0</v>
      </c>
      <c r="J199" s="192">
        <v>0</v>
      </c>
      <c r="K199" s="192">
        <v>0</v>
      </c>
      <c r="L199" s="193">
        <v>0</v>
      </c>
    </row>
    <row r="200" spans="1:12">
      <c r="A200" s="407"/>
      <c r="B200" s="533" t="s">
        <v>192</v>
      </c>
      <c r="C200" s="534">
        <f>SUM(C195:C199)</f>
        <v>0</v>
      </c>
      <c r="D200" s="534">
        <f t="shared" ref="D200:L200" si="140">SUM(D195:D199)</f>
        <v>0</v>
      </c>
      <c r="E200" s="534">
        <f t="shared" si="140"/>
        <v>0</v>
      </c>
      <c r="F200" s="534">
        <f t="shared" si="140"/>
        <v>0.2394</v>
      </c>
      <c r="G200" s="534">
        <f t="shared" si="140"/>
        <v>0.2394</v>
      </c>
      <c r="H200" s="534">
        <f t="shared" si="140"/>
        <v>0.2394</v>
      </c>
      <c r="I200" s="534">
        <f t="shared" si="140"/>
        <v>0.2394</v>
      </c>
      <c r="J200" s="534">
        <f t="shared" si="140"/>
        <v>0.2394</v>
      </c>
      <c r="K200" s="534">
        <f t="shared" si="140"/>
        <v>0.2394</v>
      </c>
      <c r="L200" s="535">
        <f t="shared" si="140"/>
        <v>0.2394</v>
      </c>
    </row>
    <row r="201" spans="1:12" ht="15" thickBot="1">
      <c r="A201" s="536"/>
      <c r="B201" s="537"/>
      <c r="C201" s="538" t="str">
        <f>IF(Debt_Growth_Option=1,IF(C200&lt;&gt;B$52,"Unequal","Equal"),"")</f>
        <v>Equal</v>
      </c>
      <c r="D201" s="538" t="str">
        <f>IF(Debt_Growth_Option=1,IF(D200&lt;&gt;C$52,"Unequal","Equal"),"")</f>
        <v>Equal</v>
      </c>
      <c r="E201" s="538" t="str">
        <f>IF(Debt_Growth_Option=1,IF(E200&lt;&gt;D$52,"Unequal","Equal"),"")</f>
        <v>Equal</v>
      </c>
      <c r="F201" s="538" t="str">
        <f>IF(Debt_Growth_Option=1,IF(F200&lt;&gt;E$52,"Unequal","Equal"),"")</f>
        <v>Unequal</v>
      </c>
      <c r="G201" s="539"/>
      <c r="H201" s="539"/>
      <c r="I201" s="539"/>
      <c r="J201" s="539"/>
      <c r="K201" s="539"/>
      <c r="L201" s="540"/>
    </row>
    <row r="202" spans="1:12">
      <c r="A202" s="533"/>
      <c r="B202" s="533"/>
      <c r="C202" s="541"/>
      <c r="D202" s="541"/>
      <c r="E202" s="541"/>
      <c r="F202" s="541"/>
      <c r="G202" s="542"/>
      <c r="H202" s="542"/>
      <c r="I202" s="542"/>
      <c r="J202" s="542"/>
      <c r="K202" s="542"/>
      <c r="L202" s="542"/>
    </row>
    <row r="203" spans="1:12" ht="15" thickBot="1">
      <c r="A203" s="530" t="s">
        <v>185</v>
      </c>
      <c r="B203" s="377"/>
      <c r="C203" s="377"/>
      <c r="D203" s="377"/>
      <c r="E203" s="377"/>
      <c r="F203" s="377"/>
      <c r="G203" s="377"/>
      <c r="H203" s="377"/>
      <c r="I203" s="377"/>
      <c r="J203" s="377"/>
      <c r="K203" s="377"/>
      <c r="L203" s="377"/>
    </row>
    <row r="204" spans="1:12" ht="15.6">
      <c r="A204" s="435" t="s">
        <v>189</v>
      </c>
      <c r="B204" s="531"/>
      <c r="C204" s="245" t="s">
        <v>367</v>
      </c>
      <c r="D204" s="245" t="s">
        <v>368</v>
      </c>
      <c r="E204" s="245" t="s">
        <v>361</v>
      </c>
      <c r="F204" s="245" t="s">
        <v>362</v>
      </c>
      <c r="G204" s="245" t="s">
        <v>363</v>
      </c>
      <c r="H204" s="245" t="s">
        <v>364</v>
      </c>
      <c r="I204" s="245" t="s">
        <v>365</v>
      </c>
      <c r="J204" s="245" t="s">
        <v>366</v>
      </c>
      <c r="K204" s="245" t="s">
        <v>370</v>
      </c>
      <c r="L204" s="246" t="s">
        <v>371</v>
      </c>
    </row>
    <row r="205" spans="1:12">
      <c r="A205" s="550" t="s">
        <v>399</v>
      </c>
      <c r="B205" s="476"/>
      <c r="C205" s="187">
        <v>0</v>
      </c>
      <c r="D205" s="187">
        <v>0</v>
      </c>
      <c r="E205" s="187">
        <v>0</v>
      </c>
      <c r="F205" s="187">
        <v>0.59463999999999995</v>
      </c>
      <c r="G205" s="187">
        <f>+F205*1.02</f>
        <v>0.60653279999999998</v>
      </c>
      <c r="H205" s="187">
        <f t="shared" ref="H205:L205" si="141">+G205*1.02</f>
        <v>0.61866345599999994</v>
      </c>
      <c r="I205" s="187">
        <f t="shared" si="141"/>
        <v>0.63103672511999997</v>
      </c>
      <c r="J205" s="187">
        <f t="shared" si="141"/>
        <v>0.64365745962239995</v>
      </c>
      <c r="K205" s="187">
        <f t="shared" si="141"/>
        <v>0.65653060881484793</v>
      </c>
      <c r="L205" s="188">
        <f t="shared" si="141"/>
        <v>0.66966122099114489</v>
      </c>
    </row>
    <row r="206" spans="1:12">
      <c r="A206" s="550" t="s">
        <v>401</v>
      </c>
      <c r="B206" s="476"/>
      <c r="C206" s="187">
        <v>0</v>
      </c>
      <c r="D206" s="187">
        <v>0</v>
      </c>
      <c r="E206" s="187">
        <v>0</v>
      </c>
      <c r="F206" s="187">
        <v>0.13541</v>
      </c>
      <c r="G206" s="187">
        <f>+F206</f>
        <v>0.13541</v>
      </c>
      <c r="H206" s="187">
        <f t="shared" ref="H206:L206" si="142">+G206</f>
        <v>0.13541</v>
      </c>
      <c r="I206" s="187">
        <f t="shared" si="142"/>
        <v>0.13541</v>
      </c>
      <c r="J206" s="187">
        <f t="shared" si="142"/>
        <v>0.13541</v>
      </c>
      <c r="K206" s="187">
        <f t="shared" si="142"/>
        <v>0.13541</v>
      </c>
      <c r="L206" s="188">
        <f t="shared" si="142"/>
        <v>0.13541</v>
      </c>
    </row>
    <row r="207" spans="1:12">
      <c r="A207" s="550" t="s">
        <v>402</v>
      </c>
      <c r="B207" s="476"/>
      <c r="C207" s="187">
        <v>0</v>
      </c>
      <c r="D207" s="187">
        <v>0</v>
      </c>
      <c r="E207" s="187">
        <v>0</v>
      </c>
      <c r="F207" s="187">
        <v>0.09</v>
      </c>
      <c r="G207" s="187">
        <f>+F207*1.03</f>
        <v>9.2700000000000005E-2</v>
      </c>
      <c r="H207" s="187">
        <f t="shared" ref="H207:L209" si="143">+G207*1.03</f>
        <v>9.548100000000001E-2</v>
      </c>
      <c r="I207" s="187">
        <f t="shared" si="143"/>
        <v>9.8345430000000011E-2</v>
      </c>
      <c r="J207" s="187">
        <f t="shared" si="143"/>
        <v>0.10129579290000001</v>
      </c>
      <c r="K207" s="187">
        <f t="shared" si="143"/>
        <v>0.10433466668700002</v>
      </c>
      <c r="L207" s="188">
        <f t="shared" si="143"/>
        <v>0.10746470668761002</v>
      </c>
    </row>
    <row r="208" spans="1:12">
      <c r="A208" s="550" t="s">
        <v>403</v>
      </c>
      <c r="B208" s="476"/>
      <c r="C208" s="187">
        <v>0</v>
      </c>
      <c r="D208" s="187">
        <v>0</v>
      </c>
      <c r="E208" s="187">
        <v>0</v>
      </c>
      <c r="F208" s="187">
        <v>0</v>
      </c>
      <c r="G208" s="187">
        <v>8.7999999999999995E-2</v>
      </c>
      <c r="H208" s="187">
        <f t="shared" si="143"/>
        <v>9.0639999999999998E-2</v>
      </c>
      <c r="I208" s="187">
        <f t="shared" si="143"/>
        <v>9.3359200000000003E-2</v>
      </c>
      <c r="J208" s="187">
        <f t="shared" si="143"/>
        <v>9.6159976000000008E-2</v>
      </c>
      <c r="K208" s="187">
        <f t="shared" si="143"/>
        <v>9.9044775280000011E-2</v>
      </c>
      <c r="L208" s="188">
        <f t="shared" si="143"/>
        <v>0.10201611853840001</v>
      </c>
    </row>
    <row r="209" spans="1:12" ht="15" thickBot="1">
      <c r="A209" s="551" t="s">
        <v>404</v>
      </c>
      <c r="B209" s="532"/>
      <c r="C209" s="192">
        <v>0</v>
      </c>
      <c r="D209" s="192">
        <v>0</v>
      </c>
      <c r="E209" s="192">
        <v>0</v>
      </c>
      <c r="F209" s="192">
        <v>0</v>
      </c>
      <c r="G209" s="192">
        <v>0</v>
      </c>
      <c r="H209" s="192">
        <v>0.27589999999999998</v>
      </c>
      <c r="I209" s="192">
        <v>0.23100000000000001</v>
      </c>
      <c r="J209" s="187">
        <f t="shared" si="143"/>
        <v>0.23793000000000003</v>
      </c>
      <c r="K209" s="187">
        <f t="shared" si="143"/>
        <v>0.24506790000000003</v>
      </c>
      <c r="L209" s="188">
        <f t="shared" si="143"/>
        <v>0.25241993700000004</v>
      </c>
    </row>
    <row r="210" spans="1:12">
      <c r="A210" s="407"/>
      <c r="B210" s="533" t="s">
        <v>192</v>
      </c>
      <c r="C210" s="534">
        <f>SUM(C205:C209)</f>
        <v>0</v>
      </c>
      <c r="D210" s="534">
        <f t="shared" ref="D210:L210" si="144">SUM(D205:D209)</f>
        <v>0</v>
      </c>
      <c r="E210" s="534">
        <f t="shared" si="144"/>
        <v>0</v>
      </c>
      <c r="F210" s="534">
        <f t="shared" si="144"/>
        <v>0.82004999999999995</v>
      </c>
      <c r="G210" s="534">
        <f t="shared" si="144"/>
        <v>0.92264279999999999</v>
      </c>
      <c r="H210" s="534">
        <f t="shared" si="144"/>
        <v>1.216094456</v>
      </c>
      <c r="I210" s="534">
        <f t="shared" si="144"/>
        <v>1.1891513551199999</v>
      </c>
      <c r="J210" s="534">
        <f t="shared" si="144"/>
        <v>1.2144532285224001</v>
      </c>
      <c r="K210" s="534">
        <f t="shared" si="144"/>
        <v>1.240387950781848</v>
      </c>
      <c r="L210" s="535">
        <f t="shared" si="144"/>
        <v>1.2669719832171549</v>
      </c>
    </row>
    <row r="211" spans="1:12" ht="15" thickBot="1">
      <c r="A211" s="536"/>
      <c r="B211" s="537"/>
      <c r="C211" s="538" t="str">
        <f>IF(Capital_Growth_Option=1,IF(C210&lt;&gt;B53,"Unequal","Equal"),"")</f>
        <v>Unequal</v>
      </c>
      <c r="D211" s="538" t="str">
        <f>IF(Capital_Growth_Option=1,IF(D210&lt;&gt;C53,"Unequal","Equal"),"")</f>
        <v>Unequal</v>
      </c>
      <c r="E211" s="538" t="str">
        <f>IF(Capital_Growth_Option=1,IF(E210&lt;&gt;D53,"Unequal","Equal"),"")</f>
        <v>Unequal</v>
      </c>
      <c r="F211" s="538" t="str">
        <f>IF(Capital_Growth_Option=1,IF(F210&lt;&gt;E53,"Unequal","Equal"),"")</f>
        <v>Unequal</v>
      </c>
      <c r="G211" s="539"/>
      <c r="H211" s="539"/>
      <c r="I211" s="539"/>
      <c r="J211" s="539"/>
      <c r="K211" s="539"/>
      <c r="L211" s="540"/>
    </row>
    <row r="212" spans="1:12">
      <c r="A212" s="377"/>
      <c r="B212" s="377"/>
      <c r="C212" s="542"/>
      <c r="D212" s="542"/>
      <c r="E212" s="542"/>
      <c r="F212" s="542"/>
      <c r="G212" s="542"/>
      <c r="H212" s="542"/>
      <c r="I212" s="542"/>
      <c r="J212" s="542"/>
      <c r="K212" s="542"/>
      <c r="L212" s="542"/>
    </row>
    <row r="213" spans="1:12" ht="15" thickBot="1">
      <c r="A213" s="530" t="s">
        <v>184</v>
      </c>
      <c r="B213" s="377"/>
      <c r="C213" s="377"/>
      <c r="D213" s="377"/>
      <c r="E213" s="377"/>
      <c r="F213" s="377"/>
      <c r="G213" s="377"/>
      <c r="H213" s="377"/>
      <c r="I213" s="377"/>
      <c r="J213" s="377"/>
      <c r="K213" s="377"/>
      <c r="L213" s="377"/>
    </row>
    <row r="214" spans="1:12" ht="15.6">
      <c r="A214" s="435" t="s">
        <v>178</v>
      </c>
      <c r="B214" s="531"/>
      <c r="C214" s="245" t="s">
        <v>367</v>
      </c>
      <c r="D214" s="245" t="s">
        <v>368</v>
      </c>
      <c r="E214" s="245" t="s">
        <v>361</v>
      </c>
      <c r="F214" s="245" t="s">
        <v>362</v>
      </c>
      <c r="G214" s="245" t="s">
        <v>363</v>
      </c>
      <c r="H214" s="245" t="s">
        <v>364</v>
      </c>
      <c r="I214" s="245" t="s">
        <v>365</v>
      </c>
      <c r="J214" s="245" t="s">
        <v>366</v>
      </c>
      <c r="K214" s="245" t="s">
        <v>370</v>
      </c>
      <c r="L214" s="246" t="s">
        <v>371</v>
      </c>
    </row>
    <row r="215" spans="1:12">
      <c r="A215" s="550" t="s">
        <v>400</v>
      </c>
      <c r="B215" s="476"/>
      <c r="C215" s="187">
        <v>0</v>
      </c>
      <c r="D215" s="187">
        <v>0</v>
      </c>
      <c r="E215" s="187">
        <v>0</v>
      </c>
      <c r="F215" s="187">
        <v>0</v>
      </c>
      <c r="G215" s="187">
        <v>0</v>
      </c>
      <c r="H215" s="187">
        <v>0</v>
      </c>
      <c r="I215" s="187">
        <v>0</v>
      </c>
      <c r="J215" s="187">
        <v>0</v>
      </c>
      <c r="K215" s="187">
        <v>0</v>
      </c>
      <c r="L215" s="188">
        <v>0</v>
      </c>
    </row>
    <row r="216" spans="1:12">
      <c r="A216" s="550" t="s">
        <v>175</v>
      </c>
      <c r="B216" s="476"/>
      <c r="C216" s="187">
        <v>0</v>
      </c>
      <c r="D216" s="187">
        <v>0</v>
      </c>
      <c r="E216" s="187">
        <v>0</v>
      </c>
      <c r="F216" s="187">
        <v>0</v>
      </c>
      <c r="G216" s="187">
        <v>0</v>
      </c>
      <c r="H216" s="187">
        <v>0</v>
      </c>
      <c r="I216" s="187">
        <v>0</v>
      </c>
      <c r="J216" s="187">
        <v>0</v>
      </c>
      <c r="K216" s="187">
        <v>0</v>
      </c>
      <c r="L216" s="188">
        <v>0</v>
      </c>
    </row>
    <row r="217" spans="1:12">
      <c r="A217" s="550" t="s">
        <v>176</v>
      </c>
      <c r="B217" s="476"/>
      <c r="C217" s="187">
        <v>0</v>
      </c>
      <c r="D217" s="187">
        <v>0</v>
      </c>
      <c r="E217" s="187">
        <v>0</v>
      </c>
      <c r="F217" s="187">
        <v>0</v>
      </c>
      <c r="G217" s="187">
        <v>0</v>
      </c>
      <c r="H217" s="187">
        <v>0</v>
      </c>
      <c r="I217" s="187">
        <v>0</v>
      </c>
      <c r="J217" s="187">
        <v>0</v>
      </c>
      <c r="K217" s="187">
        <v>0</v>
      </c>
      <c r="L217" s="188">
        <v>0</v>
      </c>
    </row>
    <row r="218" spans="1:12">
      <c r="A218" s="550" t="s">
        <v>177</v>
      </c>
      <c r="B218" s="476"/>
      <c r="C218" s="187">
        <v>0</v>
      </c>
      <c r="D218" s="187">
        <v>0</v>
      </c>
      <c r="E218" s="187">
        <v>0</v>
      </c>
      <c r="F218" s="187">
        <v>0</v>
      </c>
      <c r="G218" s="187">
        <v>0</v>
      </c>
      <c r="H218" s="187">
        <v>0</v>
      </c>
      <c r="I218" s="187">
        <v>0</v>
      </c>
      <c r="J218" s="187">
        <v>0</v>
      </c>
      <c r="K218" s="187">
        <v>0</v>
      </c>
      <c r="L218" s="188">
        <v>0</v>
      </c>
    </row>
    <row r="219" spans="1:12">
      <c r="A219" s="550" t="s">
        <v>179</v>
      </c>
      <c r="B219" s="476"/>
      <c r="C219" s="187">
        <v>0</v>
      </c>
      <c r="D219" s="187">
        <v>0</v>
      </c>
      <c r="E219" s="187">
        <v>0</v>
      </c>
      <c r="F219" s="187">
        <v>0</v>
      </c>
      <c r="G219" s="187">
        <v>0</v>
      </c>
      <c r="H219" s="187">
        <v>0</v>
      </c>
      <c r="I219" s="187">
        <v>0</v>
      </c>
      <c r="J219" s="187">
        <v>0</v>
      </c>
      <c r="K219" s="187">
        <v>0</v>
      </c>
      <c r="L219" s="188">
        <v>0</v>
      </c>
    </row>
    <row r="220" spans="1:12">
      <c r="A220" s="550" t="s">
        <v>180</v>
      </c>
      <c r="B220" s="476"/>
      <c r="C220" s="187">
        <v>0</v>
      </c>
      <c r="D220" s="187">
        <v>0</v>
      </c>
      <c r="E220" s="187">
        <v>0</v>
      </c>
      <c r="F220" s="187">
        <v>0</v>
      </c>
      <c r="G220" s="187">
        <v>0</v>
      </c>
      <c r="H220" s="187">
        <v>0</v>
      </c>
      <c r="I220" s="187">
        <v>0</v>
      </c>
      <c r="J220" s="187">
        <v>0</v>
      </c>
      <c r="K220" s="187">
        <v>0</v>
      </c>
      <c r="L220" s="188">
        <v>0</v>
      </c>
    </row>
    <row r="221" spans="1:12" ht="15" thickBot="1">
      <c r="A221" s="551" t="s">
        <v>181</v>
      </c>
      <c r="B221" s="532"/>
      <c r="C221" s="192">
        <v>0</v>
      </c>
      <c r="D221" s="192">
        <v>0</v>
      </c>
      <c r="E221" s="192">
        <v>0</v>
      </c>
      <c r="F221" s="192">
        <v>0</v>
      </c>
      <c r="G221" s="192">
        <v>0</v>
      </c>
      <c r="H221" s="192">
        <v>0</v>
      </c>
      <c r="I221" s="192">
        <v>0</v>
      </c>
      <c r="J221" s="192">
        <v>0</v>
      </c>
      <c r="K221" s="192">
        <v>0</v>
      </c>
      <c r="L221" s="193">
        <v>0</v>
      </c>
    </row>
    <row r="222" spans="1:12">
      <c r="A222" s="407"/>
      <c r="B222" s="533" t="s">
        <v>192</v>
      </c>
      <c r="C222" s="534">
        <f>SUM(C215:C221)</f>
        <v>0</v>
      </c>
      <c r="D222" s="534">
        <f t="shared" ref="D222:L222" si="145">SUM(D215:D221)</f>
        <v>0</v>
      </c>
      <c r="E222" s="534">
        <f t="shared" si="145"/>
        <v>0</v>
      </c>
      <c r="F222" s="534">
        <f t="shared" si="145"/>
        <v>0</v>
      </c>
      <c r="G222" s="534">
        <f t="shared" si="145"/>
        <v>0</v>
      </c>
      <c r="H222" s="534">
        <f t="shared" si="145"/>
        <v>0</v>
      </c>
      <c r="I222" s="534">
        <f t="shared" si="145"/>
        <v>0</v>
      </c>
      <c r="J222" s="534">
        <f t="shared" si="145"/>
        <v>0</v>
      </c>
      <c r="K222" s="534">
        <f t="shared" si="145"/>
        <v>0</v>
      </c>
      <c r="L222" s="535">
        <f t="shared" si="145"/>
        <v>0</v>
      </c>
    </row>
    <row r="223" spans="1:12" ht="15" thickBot="1">
      <c r="A223" s="536"/>
      <c r="B223" s="537"/>
      <c r="C223" s="538" t="str">
        <f>IF(Other_Transfers_Growth_Option=1,IF(C222&lt;&gt;B54,"Unequal","Equal"),"")</f>
        <v>Equal</v>
      </c>
      <c r="D223" s="538" t="str">
        <f>IF(Other_Transfers_Growth_Option=1,IF(D222&lt;&gt;C54,"Unequal","Equal"),"")</f>
        <v>Equal</v>
      </c>
      <c r="E223" s="538" t="str">
        <f>IF(Other_Transfers_Growth_Option=1,IF(E222&lt;&gt;D54,"Unequal","Equal"),"")</f>
        <v>Equal</v>
      </c>
      <c r="F223" s="538" t="str">
        <f>IF(Other_Transfers_Growth_Option=1,IF(F222&lt;&gt;E54,"Unequal","Equal"),"")</f>
        <v>Equal</v>
      </c>
      <c r="G223" s="539"/>
      <c r="H223" s="539"/>
      <c r="I223" s="539"/>
      <c r="J223" s="539"/>
      <c r="K223" s="539"/>
      <c r="L223" s="540"/>
    </row>
    <row r="224" spans="1:12">
      <c r="A224" s="533"/>
      <c r="B224" s="533"/>
      <c r="C224" s="541"/>
      <c r="D224" s="541"/>
      <c r="E224" s="541"/>
      <c r="F224" s="541"/>
      <c r="G224" s="542"/>
      <c r="H224" s="542"/>
      <c r="I224" s="542"/>
      <c r="J224" s="542"/>
      <c r="K224" s="542"/>
      <c r="L224" s="542"/>
    </row>
    <row r="225" spans="1:12" ht="15" thickBot="1">
      <c r="A225" s="530" t="s">
        <v>122</v>
      </c>
      <c r="B225" s="377"/>
      <c r="C225" s="377"/>
      <c r="D225" s="377"/>
      <c r="E225" s="377"/>
      <c r="F225" s="377"/>
      <c r="G225" s="377"/>
      <c r="H225" s="377"/>
      <c r="I225" s="377"/>
      <c r="J225" s="377"/>
      <c r="K225" s="377"/>
      <c r="L225" s="377"/>
    </row>
    <row r="226" spans="1:12" ht="15.6">
      <c r="A226" s="435" t="s">
        <v>112</v>
      </c>
      <c r="B226" s="531"/>
      <c r="C226" s="245" t="s">
        <v>367</v>
      </c>
      <c r="D226" s="245" t="s">
        <v>368</v>
      </c>
      <c r="E226" s="245" t="s">
        <v>361</v>
      </c>
      <c r="F226" s="245" t="s">
        <v>362</v>
      </c>
      <c r="G226" s="245" t="s">
        <v>363</v>
      </c>
      <c r="H226" s="245" t="s">
        <v>364</v>
      </c>
      <c r="I226" s="245" t="s">
        <v>365</v>
      </c>
      <c r="J226" s="245" t="s">
        <v>366</v>
      </c>
      <c r="K226" s="245" t="s">
        <v>370</v>
      </c>
      <c r="L226" s="246" t="s">
        <v>371</v>
      </c>
    </row>
    <row r="227" spans="1:12">
      <c r="A227" s="363" t="s">
        <v>109</v>
      </c>
      <c r="B227" s="476"/>
      <c r="C227" s="257"/>
      <c r="D227" s="257"/>
      <c r="E227" s="257"/>
      <c r="F227" s="187">
        <v>0</v>
      </c>
      <c r="G227" s="187">
        <v>0</v>
      </c>
      <c r="H227" s="187">
        <v>0</v>
      </c>
      <c r="I227" s="187">
        <v>0</v>
      </c>
      <c r="J227" s="187">
        <v>0</v>
      </c>
      <c r="K227" s="187">
        <v>0</v>
      </c>
      <c r="L227" s="188">
        <v>0</v>
      </c>
    </row>
    <row r="228" spans="1:12">
      <c r="A228" s="363" t="s">
        <v>110</v>
      </c>
      <c r="B228" s="476"/>
      <c r="C228" s="257"/>
      <c r="D228" s="257"/>
      <c r="E228" s="257"/>
      <c r="F228" s="187">
        <f>3.4181-3.70594</f>
        <v>-0.2878400000000001</v>
      </c>
      <c r="G228" s="187">
        <v>0</v>
      </c>
      <c r="H228" s="187">
        <v>0</v>
      </c>
      <c r="I228" s="187">
        <v>0</v>
      </c>
      <c r="J228" s="187">
        <v>0</v>
      </c>
      <c r="K228" s="187">
        <v>0</v>
      </c>
      <c r="L228" s="188">
        <v>0</v>
      </c>
    </row>
    <row r="229" spans="1:12">
      <c r="A229" s="363" t="s">
        <v>113</v>
      </c>
      <c r="B229" s="476"/>
      <c r="C229" s="257"/>
      <c r="D229" s="257"/>
      <c r="E229" s="257"/>
      <c r="F229" s="187">
        <v>0</v>
      </c>
      <c r="G229" s="187">
        <v>0</v>
      </c>
      <c r="H229" s="187">
        <v>0</v>
      </c>
      <c r="I229" s="187">
        <v>0</v>
      </c>
      <c r="J229" s="187">
        <v>0</v>
      </c>
      <c r="K229" s="187">
        <v>0</v>
      </c>
      <c r="L229" s="188">
        <v>0</v>
      </c>
    </row>
    <row r="230" spans="1:12">
      <c r="A230" s="363" t="s">
        <v>1</v>
      </c>
      <c r="B230" s="476"/>
      <c r="C230" s="257"/>
      <c r="D230" s="257"/>
      <c r="E230" s="257"/>
      <c r="F230" s="187">
        <v>0</v>
      </c>
      <c r="G230" s="187">
        <v>0</v>
      </c>
      <c r="H230" s="187">
        <v>0</v>
      </c>
      <c r="I230" s="187">
        <v>0</v>
      </c>
      <c r="J230" s="187">
        <v>0</v>
      </c>
      <c r="K230" s="187">
        <v>0</v>
      </c>
      <c r="L230" s="188">
        <v>0</v>
      </c>
    </row>
    <row r="231" spans="1:12" ht="15" thickBot="1">
      <c r="A231" s="365" t="s">
        <v>78</v>
      </c>
      <c r="B231" s="532"/>
      <c r="C231" s="258"/>
      <c r="D231" s="258"/>
      <c r="E231" s="258"/>
      <c r="F231" s="194">
        <v>0</v>
      </c>
      <c r="G231" s="194">
        <v>0</v>
      </c>
      <c r="H231" s="194">
        <v>0</v>
      </c>
      <c r="I231" s="194">
        <v>0</v>
      </c>
      <c r="J231" s="194">
        <v>0</v>
      </c>
      <c r="K231" s="194">
        <v>0</v>
      </c>
      <c r="L231" s="195">
        <v>0</v>
      </c>
    </row>
    <row r="232" spans="1:12">
      <c r="A232" s="533"/>
      <c r="B232" s="533"/>
      <c r="C232" s="541"/>
      <c r="D232" s="541"/>
      <c r="E232" s="541"/>
      <c r="F232" s="541"/>
      <c r="G232" s="542"/>
      <c r="H232" s="542"/>
      <c r="I232" s="542"/>
      <c r="J232" s="542"/>
      <c r="K232" s="542"/>
      <c r="L232" s="542"/>
    </row>
    <row r="233" spans="1:12" ht="15" thickBot="1">
      <c r="A233" s="530" t="s">
        <v>193</v>
      </c>
      <c r="B233" s="377"/>
      <c r="C233" s="377"/>
      <c r="D233" s="377"/>
      <c r="E233" s="377"/>
      <c r="F233" s="377"/>
      <c r="G233" s="377"/>
      <c r="H233" s="377"/>
      <c r="I233" s="377"/>
      <c r="J233" s="377"/>
      <c r="K233" s="377"/>
      <c r="L233" s="377"/>
    </row>
    <row r="234" spans="1:12" ht="15.6">
      <c r="A234" s="435" t="s">
        <v>194</v>
      </c>
      <c r="B234" s="531"/>
      <c r="C234" s="245" t="s">
        <v>367</v>
      </c>
      <c r="D234" s="245" t="s">
        <v>368</v>
      </c>
      <c r="E234" s="245" t="s">
        <v>361</v>
      </c>
      <c r="F234" s="245" t="s">
        <v>362</v>
      </c>
      <c r="G234" s="245" t="s">
        <v>363</v>
      </c>
      <c r="H234" s="245" t="s">
        <v>364</v>
      </c>
      <c r="I234" s="245" t="s">
        <v>365</v>
      </c>
      <c r="J234" s="245" t="s">
        <v>366</v>
      </c>
      <c r="K234" s="245" t="s">
        <v>370</v>
      </c>
      <c r="L234" s="246" t="s">
        <v>371</v>
      </c>
    </row>
    <row r="235" spans="1:12">
      <c r="A235" s="363" t="s">
        <v>182</v>
      </c>
      <c r="B235" s="476"/>
      <c r="C235" s="543"/>
      <c r="D235" s="543"/>
      <c r="E235" s="187">
        <v>0</v>
      </c>
      <c r="F235" s="187">
        <v>0</v>
      </c>
      <c r="G235" s="187">
        <v>0</v>
      </c>
      <c r="H235" s="187">
        <v>0</v>
      </c>
      <c r="I235" s="187">
        <v>0</v>
      </c>
      <c r="J235" s="187">
        <v>0</v>
      </c>
      <c r="K235" s="187">
        <v>0</v>
      </c>
      <c r="L235" s="188">
        <v>0</v>
      </c>
    </row>
    <row r="236" spans="1:12" ht="15" thickBot="1">
      <c r="A236" s="368" t="s">
        <v>183</v>
      </c>
      <c r="B236" s="532"/>
      <c r="C236" s="544"/>
      <c r="D236" s="544"/>
      <c r="E236" s="192">
        <f>-0.669-0.43</f>
        <v>-1.099</v>
      </c>
      <c r="F236" s="192">
        <v>-0.3</v>
      </c>
      <c r="G236" s="192">
        <f>+F236</f>
        <v>-0.3</v>
      </c>
      <c r="H236" s="192">
        <f t="shared" ref="H236:L236" si="146">+G236</f>
        <v>-0.3</v>
      </c>
      <c r="I236" s="192">
        <f t="shared" si="146"/>
        <v>-0.3</v>
      </c>
      <c r="J236" s="192">
        <f t="shared" si="146"/>
        <v>-0.3</v>
      </c>
      <c r="K236" s="192">
        <f t="shared" si="146"/>
        <v>-0.3</v>
      </c>
      <c r="L236" s="193">
        <f t="shared" si="146"/>
        <v>-0.3</v>
      </c>
    </row>
  </sheetData>
  <sheetProtection algorithmName="SHA-512" hashValue="LsX1C8p3YndoImCDhZCyhg2jwkOXFHpjSgeTQijUZ9+QFVpE//X+7GyDJBbdK6J5Ci23r1LlQinxO/J8nD2Vrg==" saltValue="PvL2oNAZ7upYS7C9N8/jLg==" spinCount="100000" sheet="1" selectLockedCells="1" selectUnlockedCells="1"/>
  <mergeCells count="2">
    <mergeCell ref="A28:F28"/>
    <mergeCell ref="A1:R1"/>
  </mergeCells>
  <phoneticPr fontId="5" type="noConversion"/>
  <conditionalFormatting sqref="C211:F212 B7:E26">
    <cfRule type="expression" dxfId="28" priority="60">
      <formula>CityBasis=0</formula>
    </cfRule>
  </conditionalFormatting>
  <conditionalFormatting sqref="F7:F26">
    <cfRule type="expression" dxfId="27" priority="59">
      <formula>CityBasis=0</formula>
    </cfRule>
  </conditionalFormatting>
  <conditionalFormatting sqref="B51:C52 B43:C43 B45:C48 B32:E38 B54:C54">
    <cfRule type="expression" dxfId="26" priority="56">
      <formula>CityBasis=0</formula>
    </cfRule>
  </conditionalFormatting>
  <conditionalFormatting sqref="B44:C44">
    <cfRule type="expression" dxfId="25" priority="55">
      <formula>CityBasis=0</formula>
    </cfRule>
  </conditionalFormatting>
  <conditionalFormatting sqref="E51:E54 E43 E45:E48">
    <cfRule type="expression" dxfId="24" priority="54">
      <formula>CityBasis=0</formula>
    </cfRule>
  </conditionalFormatting>
  <conditionalFormatting sqref="E44">
    <cfRule type="expression" dxfId="23" priority="53">
      <formula>CityBasis=0</formula>
    </cfRule>
  </conditionalFormatting>
  <conditionalFormatting sqref="D51:D52 D43 D45:D48 D54">
    <cfRule type="expression" dxfId="22" priority="51">
      <formula>CityBasis=0</formula>
    </cfRule>
  </conditionalFormatting>
  <conditionalFormatting sqref="D44">
    <cfRule type="expression" dxfId="21" priority="50">
      <formula>CityBasis=0</formula>
    </cfRule>
  </conditionalFormatting>
  <conditionalFormatting sqref="B56:E56">
    <cfRule type="expression" dxfId="20" priority="250">
      <formula>B39&lt;&gt;B55</formula>
    </cfRule>
  </conditionalFormatting>
  <conditionalFormatting sqref="B56:E56">
    <cfRule type="expression" dxfId="19" priority="251">
      <formula>B39=B55</formula>
    </cfRule>
  </conditionalFormatting>
  <conditionalFormatting sqref="C60:E63 C65:E66">
    <cfRule type="expression" dxfId="18" priority="49">
      <formula>CityBasis=0</formula>
    </cfRule>
  </conditionalFormatting>
  <conditionalFormatting sqref="C201:L202">
    <cfRule type="expression" dxfId="17" priority="33">
      <formula>AND(C201&lt;&gt;0,CityBasis=1)</formula>
    </cfRule>
    <cfRule type="expression" dxfId="16" priority="34">
      <formula>CityBasis=0</formula>
    </cfRule>
  </conditionalFormatting>
  <conditionalFormatting sqref="C210:L210">
    <cfRule type="expression" dxfId="15" priority="32">
      <formula>CityBasis=0</formula>
    </cfRule>
  </conditionalFormatting>
  <conditionalFormatting sqref="C211:L211 C211:F212">
    <cfRule type="expression" dxfId="14" priority="31">
      <formula>AND(C211&lt;&gt;0,CityBasis=1)</formula>
    </cfRule>
  </conditionalFormatting>
  <conditionalFormatting sqref="C222:L222">
    <cfRule type="expression" dxfId="13" priority="30">
      <formula>CityBasis=0</formula>
    </cfRule>
  </conditionalFormatting>
  <conditionalFormatting sqref="C223:L232">
    <cfRule type="expression" dxfId="12" priority="29">
      <formula>AND(C223&lt;&gt;0,CityBasis=1)</formula>
    </cfRule>
  </conditionalFormatting>
  <conditionalFormatting sqref="C211:F212 C201:F202">
    <cfRule type="expression" dxfId="11" priority="28">
      <formula>C201="Unequal"</formula>
    </cfRule>
  </conditionalFormatting>
  <conditionalFormatting sqref="C223:F232">
    <cfRule type="expression" dxfId="10" priority="24">
      <formula>CityBasis=0</formula>
    </cfRule>
  </conditionalFormatting>
  <conditionalFormatting sqref="C223:F232">
    <cfRule type="expression" dxfId="9" priority="23">
      <formula>AND(C223&lt;&gt;0,CityBasis=1)</formula>
    </cfRule>
  </conditionalFormatting>
  <conditionalFormatting sqref="C223:F232">
    <cfRule type="expression" dxfId="8" priority="22">
      <formula>C223="Unequal"</formula>
    </cfRule>
  </conditionalFormatting>
  <conditionalFormatting sqref="B75 B81 B87">
    <cfRule type="expression" dxfId="7" priority="376">
      <formula>AND($C$132=0,$C$150=0)</formula>
    </cfRule>
  </conditionalFormatting>
  <conditionalFormatting sqref="B50:C50">
    <cfRule type="expression" dxfId="6" priority="5">
      <formula>CityBasis=0</formula>
    </cfRule>
  </conditionalFormatting>
  <conditionalFormatting sqref="E50">
    <cfRule type="expression" dxfId="5" priority="4">
      <formula>CityBasis=0</formula>
    </cfRule>
  </conditionalFormatting>
  <conditionalFormatting sqref="D50">
    <cfRule type="expression" dxfId="4" priority="3">
      <formula>CityBasis=0</formula>
    </cfRule>
  </conditionalFormatting>
  <conditionalFormatting sqref="B53:C53">
    <cfRule type="expression" dxfId="3" priority="2">
      <formula>CityBasis=0</formula>
    </cfRule>
  </conditionalFormatting>
  <conditionalFormatting sqref="D53">
    <cfRule type="expression" dxfId="2" priority="1">
      <formula>CityBasis=0</formula>
    </cfRule>
  </conditionalFormatting>
  <dataValidations disablePrompts="1" count="1">
    <dataValidation type="whole" allowBlank="1" showInputMessage="1" showErrorMessage="1" sqref="B91:B92" xr:uid="{00000000-0002-0000-0400-000000000000}">
      <formula1>0</formula1>
      <formula2>1</formula2>
    </dataValidation>
  </dataValidations>
  <pageMargins left="0.2" right="0.2" top="0.25" bottom="0.25" header="0.3" footer="0.3"/>
  <pageSetup scale="24" orientation="portrait" horizontalDpi="0" verticalDpi="0" r:id="rId1"/>
  <legacyDrawing r:id="rId2"/>
  <extLst>
    <ext xmlns:x14="http://schemas.microsoft.com/office/spreadsheetml/2009/9/main" uri="{78C0D931-6437-407d-A8EE-F0AAD7539E65}">
      <x14:conditionalFormattings>
        <x14:conditionalFormatting xmlns:xm="http://schemas.microsoft.com/office/excel/2006/main">
          <x14:cfRule type="expression" priority="357" id="{20F4A25C-1F82-437A-BC89-B04B152D47CE}">
            <xm:f>Dashboard!$G$96=0</xm:f>
            <x14:dxf>
              <fill>
                <patternFill>
                  <bgColor theme="0" tint="-0.14996795556505021"/>
                </patternFill>
              </fill>
            </x14:dxf>
          </x14:cfRule>
          <xm:sqref>F72:F73 F78:F79 F84:F85</xm:sqref>
        </x14:conditionalFormatting>
        <x14:conditionalFormatting xmlns:xm="http://schemas.microsoft.com/office/excel/2006/main">
          <x14:cfRule type="expression" priority="366" id="{CAA89579-4D69-453E-BA27-43A533F00907}">
            <xm:f>Dashboard!$F$94=0</xm:f>
            <x14:dxf>
              <font>
                <color theme="0" tint="-0.499984740745262"/>
              </font>
              <fill>
                <patternFill>
                  <bgColor theme="0" tint="-0.14996795556505021"/>
                </patternFill>
              </fill>
            </x14:dxf>
          </x14:cfRule>
          <xm:sqref>F72:F73 F78:F79 F84:F85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D8E280670FB4647B083E1202395DC94" ma:contentTypeVersion="8" ma:contentTypeDescription="Create a new document." ma:contentTypeScope="" ma:versionID="ec14c12e93f2ae05db4a4ac1f0ecba40">
  <xsd:schema xmlns:xsd="http://www.w3.org/2001/XMLSchema" xmlns:xs="http://www.w3.org/2001/XMLSchema" xmlns:p="http://schemas.microsoft.com/office/2006/metadata/properties" xmlns:ns2="12d4b8b2-2557-4f94-b389-2b5044353b44" xmlns:ns3="3fa74d8f-3d20-4a4f-a482-c7bba652d11a" targetNamespace="http://schemas.microsoft.com/office/2006/metadata/properties" ma:root="true" ma:fieldsID="fc74d148eabe6b979c0d7bd389a6aa95" ns2:_="" ns3:_="">
    <xsd:import namespace="12d4b8b2-2557-4f94-b389-2b5044353b44"/>
    <xsd:import namespace="3fa74d8f-3d20-4a4f-a482-c7bba652d11a"/>
    <xsd:element name="properties">
      <xsd:complexType>
        <xsd:sequence>
          <xsd:element name="documentManagement">
            <xsd:complexType>
              <xsd:all>
                <xsd:element ref="ns2:Description"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4b8b2-2557-4f94-b389-2b5044353b44" elementFormDefault="qualified">
    <xsd:import namespace="http://schemas.microsoft.com/office/2006/documentManagement/types"/>
    <xsd:import namespace="http://schemas.microsoft.com/office/infopath/2007/PartnerControls"/>
    <xsd:element name="Description" ma:index="2" nillable="true" ma:displayName="Description" ma:format="Dropdown" ma:internalName="Description"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a74d8f-3d20-4a4f-a482-c7bba652d11a"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scription xmlns="12d4b8b2-2557-4f94-b389-2b5044353b44" xsi:nil="true"/>
  </documentManagement>
</p:properties>
</file>

<file path=customXml/itemProps1.xml><?xml version="1.0" encoding="utf-8"?>
<ds:datastoreItem xmlns:ds="http://schemas.openxmlformats.org/officeDocument/2006/customXml" ds:itemID="{CA481CBA-35C1-434C-B793-1D984AE499D5}">
  <ds:schemaRefs>
    <ds:schemaRef ds:uri="http://schemas.microsoft.com/sharepoint/v3/contenttype/forms"/>
  </ds:schemaRefs>
</ds:datastoreItem>
</file>

<file path=customXml/itemProps2.xml><?xml version="1.0" encoding="utf-8"?>
<ds:datastoreItem xmlns:ds="http://schemas.openxmlformats.org/officeDocument/2006/customXml" ds:itemID="{DDA9B9BA-60B4-43A5-9CBF-C9426CDD6A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4b8b2-2557-4f94-b389-2b5044353b44"/>
    <ds:schemaRef ds:uri="3fa74d8f-3d20-4a4f-a482-c7bba652d1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F3089-F947-46EF-A1BA-5B136629BB36}">
  <ds:schemaRefs>
    <ds:schemaRef ds:uri="http://purl.org/dc/elements/1.1/"/>
    <ds:schemaRef ds:uri="http://purl.org/dc/dcmitype/"/>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infopath/2007/PartnerControls"/>
    <ds:schemaRef ds:uri="3fa74d8f-3d20-4a4f-a482-c7bba652d11a"/>
    <ds:schemaRef ds:uri="12d4b8b2-2557-4f94-b389-2b5044353b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94</vt:i4>
      </vt:variant>
    </vt:vector>
  </HeadingPairs>
  <TitlesOfParts>
    <vt:vector size="104" baseType="lpstr">
      <vt:lpstr>Contact</vt:lpstr>
      <vt:lpstr>FSP MP Scen 1</vt:lpstr>
      <vt:lpstr>FSP MP Scen 2</vt:lpstr>
      <vt:lpstr>FSP MP Scen 3</vt:lpstr>
      <vt:lpstr>FSP MP Scen 4</vt:lpstr>
      <vt:lpstr>No Recession Forecast</vt:lpstr>
      <vt:lpstr>Recession Forecast</vt:lpstr>
      <vt:lpstr>Dashboard</vt:lpstr>
      <vt:lpstr>Data Worksheet</vt:lpstr>
      <vt:lpstr>Cash Flow</vt:lpstr>
      <vt:lpstr>AgencyName</vt:lpstr>
      <vt:lpstr>BLT_growth2</vt:lpstr>
      <vt:lpstr>Bud_Calc</vt:lpstr>
      <vt:lpstr>Budget_Cut_Amount</vt:lpstr>
      <vt:lpstr>Budget_Increase_Amount</vt:lpstr>
      <vt:lpstr>Budget_Increase_FY</vt:lpstr>
      <vt:lpstr>Budget_Reduction_FY</vt:lpstr>
      <vt:lpstr>Capital_Growth_Option</vt:lpstr>
      <vt:lpstr>CommDevFees_growth2</vt:lpstr>
      <vt:lpstr>CovidPick</vt:lpstr>
      <vt:lpstr>cursor</vt:lpstr>
      <vt:lpstr>Cut_No_Recession</vt:lpstr>
      <vt:lpstr>Cut_Years</vt:lpstr>
      <vt:lpstr>Debt_Growth_Option</vt:lpstr>
      <vt:lpstr>Disc_Rate</vt:lpstr>
      <vt:lpstr>Disc_Rate2</vt:lpstr>
      <vt:lpstr>Exp_Savings</vt:lpstr>
      <vt:lpstr>Fines_growth2</vt:lpstr>
      <vt:lpstr>Fire_sworn</vt:lpstr>
      <vt:lpstr>Franchise_growth2</vt:lpstr>
      <vt:lpstr>FY20_Add_only</vt:lpstr>
      <vt:lpstr>FY20Severe</vt:lpstr>
      <vt:lpstr>FY20temp</vt:lpstr>
      <vt:lpstr>FY21_Add_only</vt:lpstr>
      <vt:lpstr>FY21Severe</vt:lpstr>
      <vt:lpstr>FY21temp</vt:lpstr>
      <vt:lpstr>FY22_Severe</vt:lpstr>
      <vt:lpstr>FY22Severe</vt:lpstr>
      <vt:lpstr>FY22temp</vt:lpstr>
      <vt:lpstr>General</vt:lpstr>
      <vt:lpstr>Inflation</vt:lpstr>
      <vt:lpstr>Interfund_growth</vt:lpstr>
      <vt:lpstr>Intergovt_growth2</vt:lpstr>
      <vt:lpstr>Invest_Return_Profile</vt:lpstr>
      <vt:lpstr>LicensePermit_growth2</vt:lpstr>
      <vt:lpstr>Loan_Rate</vt:lpstr>
      <vt:lpstr>Loan_Term</vt:lpstr>
      <vt:lpstr>Loss20</vt:lpstr>
      <vt:lpstr>Loss20_temp</vt:lpstr>
      <vt:lpstr>Loss21</vt:lpstr>
      <vt:lpstr>Loss21_temp</vt:lpstr>
      <vt:lpstr>Loss22</vt:lpstr>
      <vt:lpstr>Loss22_temp</vt:lpstr>
      <vt:lpstr>max_calc</vt:lpstr>
      <vt:lpstr>Max_y</vt:lpstr>
      <vt:lpstr>Min_y</vt:lpstr>
      <vt:lpstr>Misc_all_other</vt:lpstr>
      <vt:lpstr>Other_Transfers_Growth_Option</vt:lpstr>
      <vt:lpstr>OtherFee_growth2</vt:lpstr>
      <vt:lpstr>OtherRevenue_growth2</vt:lpstr>
      <vt:lpstr>OtherTax_growth2</vt:lpstr>
      <vt:lpstr>ParkRecFees_growth2</vt:lpstr>
      <vt:lpstr>Pension_Growth_Option</vt:lpstr>
      <vt:lpstr>Police_sworn</vt:lpstr>
      <vt:lpstr>Population</vt:lpstr>
      <vt:lpstr>'No Recession Forecast'!Print_Area</vt:lpstr>
      <vt:lpstr>'Recession Forecast'!Print_Area</vt:lpstr>
      <vt:lpstr>Prior_Max</vt:lpstr>
      <vt:lpstr>Prior_Min</vt:lpstr>
      <vt:lpstr>PT_growth2</vt:lpstr>
      <vt:lpstr>Recession_loss_FY23</vt:lpstr>
      <vt:lpstr>Recession_loss_FY24</vt:lpstr>
      <vt:lpstr>Recovery_temp</vt:lpstr>
      <vt:lpstr>Recovery_years</vt:lpstr>
      <vt:lpstr>Reserve_Goal</vt:lpstr>
      <vt:lpstr>Rev_loss_cap</vt:lpstr>
      <vt:lpstr>Rev_Loss_Loan</vt:lpstr>
      <vt:lpstr>Revenue_Loss_FY20</vt:lpstr>
      <vt:lpstr>Revenue_Loss_FY20_High</vt:lpstr>
      <vt:lpstr>Revenue_Loss_FY20_Low</vt:lpstr>
      <vt:lpstr>Revenue_Loss_FY20_Moderate</vt:lpstr>
      <vt:lpstr>Revenue_Loss_FY20_Severe</vt:lpstr>
      <vt:lpstr>Revenue_Loss_FY21</vt:lpstr>
      <vt:lpstr>Revenue_Loss_FY21_High</vt:lpstr>
      <vt:lpstr>Revenue_Loss_FY21_Low</vt:lpstr>
      <vt:lpstr>Revenue_Loss_FY21_Moderate</vt:lpstr>
      <vt:lpstr>Revenue_Loss_FY21_Severe</vt:lpstr>
      <vt:lpstr>Revenue_Loss_FY22</vt:lpstr>
      <vt:lpstr>Revenue_Loss_FY22_High</vt:lpstr>
      <vt:lpstr>Revenue_Loss_FY22_Low</vt:lpstr>
      <vt:lpstr>Revenue_Loss_FY22_Moderate</vt:lpstr>
      <vt:lpstr>Revenue_Loss_FY22_Severe</vt:lpstr>
      <vt:lpstr>RPTT_growth2</vt:lpstr>
      <vt:lpstr>Salary_Growth_Option</vt:lpstr>
      <vt:lpstr>ST_growth2</vt:lpstr>
      <vt:lpstr>Tax_Loss_Replacement</vt:lpstr>
      <vt:lpstr>TOT_growth2</vt:lpstr>
      <vt:lpstr>TOTloss</vt:lpstr>
      <vt:lpstr>Transfer_In_growth2</vt:lpstr>
      <vt:lpstr>TUT_growth2</vt:lpstr>
      <vt:lpstr>UAL_prepay</vt:lpstr>
      <vt:lpstr>Unit</vt:lpstr>
      <vt:lpstr>UUT_growth2</vt:lpstr>
      <vt:lpstr>Your_City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Management Partners</dc:creator>
  <cp:lastModifiedBy>Steve Toler</cp:lastModifiedBy>
  <cp:lastPrinted>2020-04-19T04:28:07Z</cp:lastPrinted>
  <dcterms:created xsi:type="dcterms:W3CDTF">2020-03-20T21:10:20Z</dcterms:created>
  <dcterms:modified xsi:type="dcterms:W3CDTF">2020-09-01T19:14:52Z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0x010100AD8E280670FB4647B083E1202395DC94</vt:lpwstr>
  </property>
</Properties>
</file>